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210" tabRatio="346" xr2:uid="{00000000-000D-0000-FFFF-FFFF00000000}"/>
  </bookViews>
  <sheets>
    <sheet name="Public Hearing" sheetId="6" r:id="rId1"/>
    <sheet name="Proposed Tentative" sheetId="5" r:id="rId2"/>
    <sheet name="Proformas" sheetId="1" r:id="rId3"/>
    <sheet name="Summary" sheetId="4" r:id="rId4"/>
    <sheet name="GSLMSD PT Impact in total" sheetId="2" r:id="rId5"/>
    <sheet name="Impact per Metro" sheetId="3" r:id="rId6"/>
  </sheets>
  <definedNames>
    <definedName name="_xlnm.Print_Area" localSheetId="1">'Proposed Tentative'!$A$1:$J$149</definedName>
  </definedNames>
  <calcPr calcId="171027"/>
</workbook>
</file>

<file path=xl/calcChain.xml><?xml version="1.0" encoding="utf-8"?>
<calcChain xmlns="http://schemas.openxmlformats.org/spreadsheetml/2006/main">
  <c r="D21" i="6" l="1"/>
  <c r="C42" i="6" l="1"/>
  <c r="C22" i="6" l="1"/>
  <c r="C49" i="6"/>
  <c r="E39" i="6"/>
  <c r="E40" i="6"/>
  <c r="D40" i="6" s="1"/>
  <c r="E41" i="6"/>
  <c r="D41" i="6" s="1"/>
  <c r="E42" i="6"/>
  <c r="D42" i="6" s="1"/>
  <c r="E44" i="6"/>
  <c r="D44" i="6" s="1"/>
  <c r="E45" i="6"/>
  <c r="D45" i="6" s="1"/>
  <c r="E46" i="6"/>
  <c r="D46" i="6" s="1"/>
  <c r="E48" i="6"/>
  <c r="D48" i="6" s="1"/>
  <c r="E47" i="6"/>
  <c r="D47" i="6" s="1"/>
  <c r="R10" i="5"/>
  <c r="E34" i="6"/>
  <c r="C34" i="6"/>
  <c r="E33" i="6"/>
  <c r="C33" i="6"/>
  <c r="R15" i="5"/>
  <c r="R14" i="5"/>
  <c r="R13" i="5"/>
  <c r="R11" i="5"/>
  <c r="R7" i="5"/>
  <c r="E32" i="6"/>
  <c r="E31" i="6"/>
  <c r="E30" i="6"/>
  <c r="E29" i="6"/>
  <c r="E28" i="6"/>
  <c r="C32" i="6"/>
  <c r="C31" i="6"/>
  <c r="C30" i="6"/>
  <c r="C29" i="6"/>
  <c r="C28" i="6"/>
  <c r="E19" i="6"/>
  <c r="D19" i="6" s="1"/>
  <c r="E20" i="6"/>
  <c r="D20" i="6" s="1"/>
  <c r="E18" i="6"/>
  <c r="D18" i="6" s="1"/>
  <c r="E17" i="6"/>
  <c r="E16" i="6"/>
  <c r="D16" i="6" s="1"/>
  <c r="E15" i="6"/>
  <c r="D15" i="6" s="1"/>
  <c r="E14" i="6"/>
  <c r="D14" i="6" s="1"/>
  <c r="E13" i="6"/>
  <c r="D13" i="6" s="1"/>
  <c r="E12" i="6"/>
  <c r="D12" i="6" s="1"/>
  <c r="E11" i="6"/>
  <c r="D11" i="6" s="1"/>
  <c r="E10" i="6"/>
  <c r="D10" i="6" s="1"/>
  <c r="E9" i="6"/>
  <c r="D9" i="6" s="1"/>
  <c r="J149" i="5"/>
  <c r="J148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0" i="5"/>
  <c r="J124" i="5"/>
  <c r="D17" i="6" l="1"/>
  <c r="D22" i="6" s="1"/>
  <c r="D28" i="6"/>
  <c r="D32" i="6"/>
  <c r="D29" i="6"/>
  <c r="D33" i="6"/>
  <c r="E49" i="6"/>
  <c r="D39" i="6"/>
  <c r="D49" i="6" s="1"/>
  <c r="D31" i="6"/>
  <c r="D34" i="6"/>
  <c r="D30" i="6"/>
  <c r="E22" i="6"/>
  <c r="C35" i="6"/>
  <c r="C52" i="6" s="1"/>
  <c r="C54" i="6" s="1"/>
  <c r="E35" i="6"/>
  <c r="E9" i="5"/>
  <c r="E52" i="6" l="1"/>
  <c r="E54" i="6" s="1"/>
  <c r="D35" i="6"/>
  <c r="R12" i="5" s="1"/>
  <c r="G9" i="5"/>
  <c r="F9" i="5"/>
  <c r="D9" i="5"/>
  <c r="C9" i="5"/>
  <c r="B9" i="5"/>
  <c r="I10" i="5"/>
  <c r="I93" i="5"/>
  <c r="I140" i="5"/>
  <c r="D52" i="6" l="1"/>
  <c r="H9" i="5"/>
  <c r="J10" i="5" s="1"/>
  <c r="I20" i="5"/>
  <c r="I123" i="5" l="1"/>
  <c r="G15" i="5"/>
  <c r="H15" i="5" s="1"/>
  <c r="J20" i="5" s="1"/>
  <c r="H129" i="5"/>
  <c r="I147" i="5" s="1"/>
  <c r="E58" i="5"/>
  <c r="G131" i="5"/>
  <c r="G115" i="5"/>
  <c r="E108" i="5"/>
  <c r="G108" i="5" s="1"/>
  <c r="G107" i="5"/>
  <c r="G99" i="5"/>
  <c r="H105" i="5" s="1"/>
  <c r="J105" i="5" s="1"/>
  <c r="E88" i="5"/>
  <c r="E87" i="5"/>
  <c r="E73" i="5"/>
  <c r="E72" i="5"/>
  <c r="E71" i="5"/>
  <c r="G71" i="5" s="1"/>
  <c r="E61" i="5"/>
  <c r="E60" i="5"/>
  <c r="E59" i="5"/>
  <c r="H55" i="5"/>
  <c r="J55" i="5" s="1"/>
  <c r="E37" i="5"/>
  <c r="E36" i="5"/>
  <c r="G36" i="5" s="1"/>
  <c r="E27" i="5"/>
  <c r="E26" i="5"/>
  <c r="G26" i="5" s="1"/>
  <c r="H113" i="5" l="1"/>
  <c r="J113" i="5" s="1"/>
  <c r="G35" i="5"/>
  <c r="H47" i="5" s="1"/>
  <c r="J47" i="5" s="1"/>
  <c r="H120" i="5"/>
  <c r="J120" i="5" s="1"/>
  <c r="H132" i="5"/>
  <c r="H146" i="5" s="1"/>
  <c r="I148" i="5" s="1"/>
  <c r="G70" i="5"/>
  <c r="G25" i="5"/>
  <c r="H33" i="5" s="1"/>
  <c r="J33" i="5" s="1"/>
  <c r="G57" i="5"/>
  <c r="H68" i="5" s="1"/>
  <c r="J68" i="5" s="1"/>
  <c r="G86" i="5"/>
  <c r="H95" i="5" s="1"/>
  <c r="J95" i="5" s="1"/>
  <c r="L107" i="1"/>
  <c r="H84" i="5" l="1"/>
  <c r="H122" i="5" s="1"/>
  <c r="N64" i="1"/>
  <c r="N74" i="1"/>
  <c r="N91" i="1"/>
  <c r="J84" i="5" l="1"/>
  <c r="I124" i="5"/>
  <c r="I149" i="5" s="1"/>
  <c r="H149" i="5"/>
  <c r="P64" i="1"/>
  <c r="N89" i="1" l="1"/>
  <c r="N78" i="1"/>
  <c r="N77" i="1"/>
  <c r="N76" i="1"/>
  <c r="L89" i="1"/>
  <c r="L78" i="1"/>
  <c r="L77" i="1"/>
  <c r="L76" i="1"/>
  <c r="G22" i="4" l="1"/>
  <c r="D15" i="4"/>
  <c r="E15" i="4"/>
  <c r="F15" i="4"/>
  <c r="G15" i="4"/>
  <c r="H15" i="4"/>
  <c r="C15" i="4"/>
  <c r="I53" i="4"/>
  <c r="I45" i="4"/>
  <c r="I26" i="4"/>
  <c r="I28" i="4" s="1"/>
  <c r="I18" i="4"/>
  <c r="I22" i="4" s="1"/>
  <c r="G41" i="4"/>
  <c r="G43" i="4" s="1"/>
  <c r="G37" i="4"/>
  <c r="G39" i="4" s="1"/>
  <c r="G30" i="4"/>
  <c r="I30" i="4" s="1"/>
  <c r="I33" i="4" s="1"/>
  <c r="G51" i="4"/>
  <c r="I51" i="4" s="1"/>
  <c r="G47" i="4"/>
  <c r="G49" i="4" s="1"/>
  <c r="G28" i="4"/>
  <c r="D13" i="4"/>
  <c r="E13" i="4"/>
  <c r="F13" i="4"/>
  <c r="G13" i="4"/>
  <c r="H13" i="4"/>
  <c r="C13" i="4"/>
  <c r="P23" i="3"/>
  <c r="O23" i="3"/>
  <c r="N23" i="3"/>
  <c r="M23" i="3"/>
  <c r="L23" i="3"/>
  <c r="K23" i="3"/>
  <c r="F19" i="3"/>
  <c r="H6" i="3"/>
  <c r="O7" i="3" s="1"/>
  <c r="F19" i="2"/>
  <c r="F9" i="2"/>
  <c r="I37" i="4" l="1"/>
  <c r="I39" i="4" s="1"/>
  <c r="O8" i="3"/>
  <c r="I41" i="4"/>
  <c r="I43" i="4" s="1"/>
  <c r="P7" i="3"/>
  <c r="P8" i="3" s="1"/>
  <c r="G33" i="4"/>
  <c r="G55" i="4" s="1"/>
  <c r="L7" i="3"/>
  <c r="L8" i="3" s="1"/>
  <c r="I47" i="4"/>
  <c r="I49" i="4" s="1"/>
  <c r="M7" i="3"/>
  <c r="M8" i="3" s="1"/>
  <c r="N7" i="3"/>
  <c r="N8" i="3" s="1"/>
  <c r="K7" i="3"/>
  <c r="G56" i="4" l="1"/>
  <c r="G57" i="4" s="1"/>
  <c r="G63" i="4" s="1"/>
  <c r="J70" i="4" s="1"/>
  <c r="K8" i="3"/>
  <c r="Q7" i="3"/>
  <c r="Q8" i="3" l="1"/>
  <c r="E84" i="1" l="1"/>
  <c r="E83" i="1"/>
  <c r="G82" i="1" l="1"/>
  <c r="G49" i="1"/>
  <c r="G50" i="1"/>
  <c r="G38" i="1"/>
  <c r="G24" i="1"/>
  <c r="J86" i="1" l="1"/>
  <c r="E66" i="1"/>
  <c r="E65" i="1"/>
  <c r="E64" i="1"/>
  <c r="E63" i="1"/>
  <c r="I116" i="1"/>
  <c r="H119" i="1"/>
  <c r="G48" i="1"/>
  <c r="L48" i="1" s="1"/>
  <c r="I144" i="1"/>
  <c r="E74" i="1"/>
  <c r="E75" i="1"/>
  <c r="G57" i="1"/>
  <c r="I141" i="1"/>
  <c r="E45" i="1"/>
  <c r="E44" i="1"/>
  <c r="E35" i="1"/>
  <c r="E36" i="1"/>
  <c r="J59" i="1" l="1"/>
  <c r="L86" i="1"/>
  <c r="P86" i="1"/>
  <c r="N86" i="1"/>
  <c r="G43" i="1"/>
  <c r="G62" i="1"/>
  <c r="G34" i="1"/>
  <c r="G17" i="1"/>
  <c r="F17" i="1"/>
  <c r="E17" i="1"/>
  <c r="D17" i="1"/>
  <c r="G16" i="1"/>
  <c r="F16" i="1"/>
  <c r="E16" i="1"/>
  <c r="D16" i="1"/>
  <c r="C17" i="1"/>
  <c r="C16" i="1"/>
  <c r="L59" i="1" l="1"/>
  <c r="N59" i="1"/>
  <c r="P59" i="1"/>
  <c r="L43" i="1"/>
  <c r="L34" i="1"/>
  <c r="L62" i="1"/>
  <c r="N62" i="1"/>
  <c r="J17" i="1"/>
  <c r="J16" i="1"/>
  <c r="J164" i="1"/>
  <c r="N153" i="1" l="1"/>
  <c r="F25" i="3"/>
  <c r="B5" i="1"/>
  <c r="I138" i="1"/>
  <c r="I135" i="1"/>
  <c r="I132" i="1"/>
  <c r="I120" i="1"/>
  <c r="G106" i="1"/>
  <c r="G105" i="1"/>
  <c r="E100" i="1"/>
  <c r="G100" i="1" s="1"/>
  <c r="G99" i="1"/>
  <c r="J102" i="1" s="1"/>
  <c r="J108" i="1" l="1"/>
  <c r="N100" i="1"/>
  <c r="L100" i="1"/>
  <c r="L99" i="1"/>
  <c r="N99" i="1"/>
  <c r="P102" i="1"/>
  <c r="J155" i="1"/>
  <c r="G90" i="1"/>
  <c r="E73" i="1"/>
  <c r="G63" i="1"/>
  <c r="G35" i="1"/>
  <c r="G44" i="1"/>
  <c r="J53" i="1" s="1"/>
  <c r="H15" i="1"/>
  <c r="G22" i="1"/>
  <c r="G23" i="1" s="1"/>
  <c r="J31" i="1" s="1"/>
  <c r="G15" i="1"/>
  <c r="F15" i="1"/>
  <c r="E15" i="1"/>
  <c r="D15" i="1"/>
  <c r="C15" i="1"/>
  <c r="I12" i="1"/>
  <c r="L90" i="1" l="1"/>
  <c r="J40" i="1"/>
  <c r="L63" i="1"/>
  <c r="J68" i="1"/>
  <c r="P68" i="1" s="1"/>
  <c r="P53" i="1"/>
  <c r="L44" i="1"/>
  <c r="N40" i="1"/>
  <c r="L35" i="1"/>
  <c r="N63" i="1"/>
  <c r="J93" i="1"/>
  <c r="P93" i="1" s="1"/>
  <c r="N90" i="1"/>
  <c r="P155" i="1"/>
  <c r="N155" i="1"/>
  <c r="P108" i="1"/>
  <c r="N108" i="1"/>
  <c r="L108" i="1"/>
  <c r="L155" i="1"/>
  <c r="L23" i="1"/>
  <c r="G73" i="1"/>
  <c r="G72" i="1"/>
  <c r="J15" i="1"/>
  <c r="L15" i="1" s="1"/>
  <c r="P40" i="1" l="1"/>
  <c r="N53" i="1"/>
  <c r="N73" i="1"/>
  <c r="L73" i="1"/>
  <c r="P31" i="1"/>
  <c r="N31" i="1"/>
  <c r="L72" i="1"/>
  <c r="L111" i="1" s="1"/>
  <c r="N72" i="1"/>
  <c r="J18" i="1"/>
  <c r="J80" i="1"/>
  <c r="P80" i="1" s="1"/>
  <c r="L159" i="1" l="1"/>
  <c r="N18" i="1"/>
  <c r="P18" i="1"/>
  <c r="J111" i="1"/>
  <c r="J159" i="1" s="1"/>
  <c r="P111" i="1" l="1"/>
  <c r="P159" i="1" s="1"/>
  <c r="N111" i="1"/>
  <c r="N159" i="1" s="1"/>
  <c r="F13" i="3"/>
  <c r="F27" i="3" s="1"/>
  <c r="F13" i="2"/>
  <c r="J166" i="1"/>
  <c r="J168" i="1" s="1"/>
  <c r="J178" i="1"/>
  <c r="F28" i="3" l="1"/>
  <c r="P31" i="3"/>
  <c r="N31" i="3"/>
  <c r="O30" i="3"/>
  <c r="K31" i="3"/>
  <c r="L30" i="3"/>
  <c r="O31" i="3"/>
  <c r="N30" i="3"/>
  <c r="L31" i="3"/>
  <c r="P30" i="3"/>
  <c r="M31" i="3"/>
  <c r="K30" i="3"/>
  <c r="M30" i="3"/>
  <c r="D11" i="2"/>
  <c r="F21" i="2" s="1"/>
  <c r="D11" i="3"/>
  <c r="N24" i="3" l="1"/>
  <c r="F21" i="3"/>
  <c r="P24" i="3"/>
  <c r="L24" i="3"/>
  <c r="M24" i="3"/>
  <c r="P10" i="3"/>
  <c r="P12" i="3" s="1"/>
  <c r="N10" i="3"/>
  <c r="N12" i="3" s="1"/>
  <c r="O10" i="3"/>
  <c r="O12" i="3" s="1"/>
  <c r="K24" i="3"/>
  <c r="L10" i="3"/>
  <c r="L12" i="3" s="1"/>
  <c r="K10" i="3"/>
  <c r="K12" i="3" s="1"/>
  <c r="M10" i="3"/>
  <c r="M12" i="3" s="1"/>
  <c r="O24" i="3"/>
  <c r="Q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Jared C Steffey</author>
  </authors>
  <commentList>
    <comment ref="I9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Jared C Steffey:</t>
        </r>
        <r>
          <rPr>
            <sz val="9"/>
            <color indexed="81"/>
            <rFont val="Tahoma"/>
            <family val="2"/>
          </rPr>
          <t xml:space="preserve">
Includes O/H for Capital Projects and funds for Mountain Accord Project</t>
        </r>
      </text>
    </comment>
  </commentList>
</comments>
</file>

<file path=xl/sharedStrings.xml><?xml version="1.0" encoding="utf-8"?>
<sst xmlns="http://schemas.openxmlformats.org/spreadsheetml/2006/main" count="600" uniqueCount="316">
  <si>
    <t>Metro Township Budget Requests for 2018</t>
  </si>
  <si>
    <t>Copperton</t>
  </si>
  <si>
    <t>Emigration</t>
  </si>
  <si>
    <t>Kearns</t>
  </si>
  <si>
    <t>Magna</t>
  </si>
  <si>
    <t xml:space="preserve">White </t>
  </si>
  <si>
    <t>City</t>
  </si>
  <si>
    <t>Canyon</t>
  </si>
  <si>
    <t>Total</t>
  </si>
  <si>
    <t>Inflation on salary and benefits</t>
  </si>
  <si>
    <t>Unincorporated</t>
  </si>
  <si>
    <t>Requests</t>
  </si>
  <si>
    <t>Outreach (Township)</t>
  </si>
  <si>
    <t>Planning and Development Services</t>
  </si>
  <si>
    <t>Engineering</t>
  </si>
  <si>
    <t>Animal Services</t>
  </si>
  <si>
    <t>Contract Services for</t>
  </si>
  <si>
    <t>(Adjusted by 40% for Millcreek)</t>
  </si>
  <si>
    <t>Contractual inflation</t>
  </si>
  <si>
    <t>PW Operations</t>
  </si>
  <si>
    <t>Additional requests for Pavement &amp; concrete</t>
  </si>
  <si>
    <t>Stat &amp; General</t>
  </si>
  <si>
    <t>Parks</t>
  </si>
  <si>
    <t>No increases necessary</t>
  </si>
  <si>
    <t>Additional requests for capital maintenance</t>
  </si>
  <si>
    <t>Capital Projects</t>
  </si>
  <si>
    <t>Additional for Storm Drains</t>
  </si>
  <si>
    <t>Justice Courts</t>
  </si>
  <si>
    <t>DA prosecution and Indigent Legal</t>
  </si>
  <si>
    <t>Expenses</t>
  </si>
  <si>
    <t>Revenues</t>
  </si>
  <si>
    <t>Sales Tax</t>
  </si>
  <si>
    <t>Reduced for Millcreek</t>
  </si>
  <si>
    <t>Inflationary increase</t>
  </si>
  <si>
    <t>Class B/C</t>
  </si>
  <si>
    <t>Cable TV/Franchise</t>
  </si>
  <si>
    <t>Interest revenue</t>
  </si>
  <si>
    <t>Justice Court Fines</t>
  </si>
  <si>
    <t>DIFFERENCE</t>
  </si>
  <si>
    <t>Included above  in the Department Budget Requests</t>
  </si>
  <si>
    <t>Possible revenue from Storm Water Utility Fees</t>
  </si>
  <si>
    <t>Solutions for resolving the shortfall</t>
  </si>
  <si>
    <t>Property Tax</t>
  </si>
  <si>
    <t>Reconciled difference</t>
  </si>
  <si>
    <t>2018 New Requests</t>
  </si>
  <si>
    <t>Compensation Members</t>
  </si>
  <si>
    <t>Compensation Chairs</t>
  </si>
  <si>
    <t>Compensation for GSLMSD Board Members</t>
  </si>
  <si>
    <t>Admimistrative</t>
  </si>
  <si>
    <t>Membership to UASD</t>
  </si>
  <si>
    <t>Personnel</t>
  </si>
  <si>
    <t>Operations</t>
  </si>
  <si>
    <t>Capital</t>
  </si>
  <si>
    <t>Total 2017 Budget</t>
  </si>
  <si>
    <t>Total 2017 Budget for Metro Townships</t>
  </si>
  <si>
    <t>Indirect</t>
  </si>
  <si>
    <t>2018 projections</t>
  </si>
  <si>
    <t>Detail for 2018 budget projections</t>
  </si>
  <si>
    <t>Fees for Planning and Developmet Services</t>
  </si>
  <si>
    <t>for capital maintenance</t>
  </si>
  <si>
    <t>for OCI maintenance needs</t>
  </si>
  <si>
    <t>for stormdrain, sidewalk, drainage needs</t>
  </si>
  <si>
    <t>Indirects</t>
  </si>
  <si>
    <t>Stormwater Interlocal Revenue</t>
  </si>
  <si>
    <t>Paid by cell phone providers</t>
  </si>
  <si>
    <t>Parking tickets, speeding tickets, etc…</t>
  </si>
  <si>
    <t>Nets against program expenses</t>
  </si>
  <si>
    <t>Gas Tax</t>
  </si>
  <si>
    <t>Interfund Revenue</t>
  </si>
  <si>
    <t>Fees for Engineering Permits</t>
  </si>
  <si>
    <t>Intrafund Expense</t>
  </si>
  <si>
    <t>Intrafund Revenue</t>
  </si>
  <si>
    <t>Interfund Expense</t>
  </si>
  <si>
    <t>Total budget proposed for 2018</t>
  </si>
  <si>
    <t>Grants</t>
  </si>
  <si>
    <t>Flood Control, Excise Tax</t>
  </si>
  <si>
    <t>PWO Inspectors</t>
  </si>
  <si>
    <t>Admin/GIS Costs from FC</t>
  </si>
  <si>
    <t>PDS to Eng and Eng to PWO</t>
  </si>
  <si>
    <t>Depreciation</t>
  </si>
  <si>
    <t>New Requests</t>
  </si>
  <si>
    <t>Rate per month per Equivalent Residential Unit (ERU)</t>
  </si>
  <si>
    <t>2017 budget</t>
  </si>
  <si>
    <t>2018 Proposals</t>
  </si>
  <si>
    <t>2018 GM proposal</t>
  </si>
  <si>
    <t>2018 new request</t>
  </si>
  <si>
    <t>GSLMSD total 2017 budget</t>
  </si>
  <si>
    <t>Inflation rate</t>
  </si>
  <si>
    <t>Metro Interns</t>
  </si>
  <si>
    <t>Plan Review FTE + operations</t>
  </si>
  <si>
    <t>Planner FTE + operations</t>
  </si>
  <si>
    <t>First Class County Highway funds</t>
  </si>
  <si>
    <t>Sheriff Cell Towers</t>
  </si>
  <si>
    <t>Now in the General Fund</t>
  </si>
  <si>
    <t>Overview</t>
  </si>
  <si>
    <t>Increases in compensation and other reconciling items</t>
  </si>
  <si>
    <t>Greater Salt Lake Municipal Services District</t>
  </si>
  <si>
    <t>Estimated Property Tax Revenue and Impact worksheet</t>
  </si>
  <si>
    <t>Note the Maximum allowed by law is .0008 per UCA 17B-1-1002</t>
  </si>
  <si>
    <t>"Factors"</t>
  </si>
  <si>
    <t>Taxable Value of the GSLMSD</t>
  </si>
  <si>
    <t>X</t>
  </si>
  <si>
    <t xml:space="preserve">Estimated Property tax increase = </t>
  </si>
  <si>
    <t>Y</t>
  </si>
  <si>
    <t>Amount raised by incremental increase</t>
  </si>
  <si>
    <t>Z</t>
  </si>
  <si>
    <t>Average Home Value</t>
  </si>
  <si>
    <t>Percent of home value reduction</t>
  </si>
  <si>
    <t>Value actually taxed for Property Taxes</t>
  </si>
  <si>
    <t>Estimated Impact on an average home is</t>
  </si>
  <si>
    <t>White City</t>
  </si>
  <si>
    <t>Population percentage</t>
  </si>
  <si>
    <t>Estimated taxable values</t>
  </si>
  <si>
    <t>If the individual home average</t>
  </si>
  <si>
    <t>So;</t>
  </si>
  <si>
    <t>values in each Metro Township</t>
  </si>
  <si>
    <t>are used in the estimates…..</t>
  </si>
  <si>
    <t>Cut Percentage</t>
  </si>
  <si>
    <t>Cut Total</t>
  </si>
  <si>
    <t>Reduction Percentage</t>
  </si>
  <si>
    <t>Reduction Amount</t>
  </si>
  <si>
    <t>Reductions</t>
  </si>
  <si>
    <t>Requested</t>
  </si>
  <si>
    <t>Total Request - Reduction</t>
  </si>
  <si>
    <t>Municipal Code Online</t>
  </si>
  <si>
    <t>Population (from 2015 Census)</t>
  </si>
  <si>
    <t>Scenario A</t>
  </si>
  <si>
    <t>Scenario C</t>
  </si>
  <si>
    <t>Budgets as requested</t>
  </si>
  <si>
    <t>Status Quo</t>
  </si>
  <si>
    <t>Scenario B</t>
  </si>
  <si>
    <t>Scenario D</t>
  </si>
  <si>
    <t>Include inflation</t>
  </si>
  <si>
    <t>increases.</t>
  </si>
  <si>
    <t>Storm Water Utility Fee Revenue</t>
  </si>
  <si>
    <t>in road improvements</t>
  </si>
  <si>
    <t>This level would</t>
  </si>
  <si>
    <t>and presented to the</t>
  </si>
  <si>
    <t>Board August 9, 2017</t>
  </si>
  <si>
    <t>require &gt;$20 million</t>
  </si>
  <si>
    <t>2006 condition</t>
  </si>
  <si>
    <t>With the Storm</t>
  </si>
  <si>
    <t>Water Utility Fee</t>
  </si>
  <si>
    <t>Scenarios are</t>
  </si>
  <si>
    <t>built upon the</t>
  </si>
  <si>
    <t>initial presentation</t>
  </si>
  <si>
    <t>to the Board now</t>
  </si>
  <si>
    <t>called Scenario A</t>
  </si>
  <si>
    <t>&amp; includes $4 million</t>
  </si>
  <si>
    <t>Additional Legal services</t>
  </si>
  <si>
    <t>and compensation.</t>
  </si>
  <si>
    <t>from Scenario A.</t>
  </si>
  <si>
    <t>restoration.</t>
  </si>
  <si>
    <t>Proformas</t>
  </si>
  <si>
    <t>Funding at current</t>
  </si>
  <si>
    <t>revenue levels</t>
  </si>
  <si>
    <t>plus inflation.</t>
  </si>
  <si>
    <t>TOTAL EXPENSE</t>
  </si>
  <si>
    <t>TOTAL REVENUE</t>
  </si>
  <si>
    <t>GSLMSD 2018 Budget Options - 8/18/2017 Draft</t>
  </si>
  <si>
    <t>Reduction in Property Tax Amount</t>
  </si>
  <si>
    <t>Estimated Property Tax rate</t>
  </si>
  <si>
    <t>Estimated Impact on average home with Storm Water Utility Fee</t>
  </si>
  <si>
    <t>Property Tax with Storm Water Revenue</t>
  </si>
  <si>
    <t>Property Tax on Average Home Value</t>
  </si>
  <si>
    <t>GSLMSD</t>
  </si>
  <si>
    <t>Outreach</t>
  </si>
  <si>
    <t>P&amp;DS</t>
  </si>
  <si>
    <t>PWEng</t>
  </si>
  <si>
    <t>PWOps</t>
  </si>
  <si>
    <t>S&amp;G</t>
  </si>
  <si>
    <t>JC</t>
  </si>
  <si>
    <t>DA&amp;IL</t>
  </si>
  <si>
    <t>Metro Townships</t>
  </si>
  <si>
    <t>Accounting assistance</t>
  </si>
  <si>
    <t>Administrative</t>
  </si>
  <si>
    <t>Do ~ 15% of PWOps,</t>
  </si>
  <si>
    <t>10% of PW Engineering,</t>
  </si>
  <si>
    <t>and 10% of the Parks</t>
  </si>
  <si>
    <t>Adopted by the Board</t>
  </si>
  <si>
    <t>Stormwater compliance</t>
  </si>
  <si>
    <t>Less 6.81% per the Department directive</t>
  </si>
  <si>
    <t>(Da is $375,000 + ILA is $165,000 = $540,000)</t>
  </si>
  <si>
    <t>Use the SB277 funding of $833,000 (per year over 3 years)</t>
  </si>
  <si>
    <t xml:space="preserve">to absorb the Department 6.81% cuts = restore prior cuts </t>
  </si>
  <si>
    <t>to all Divisions except PWOps.  Fund PWOps with the SB277</t>
  </si>
  <si>
    <t>funding in 2018 and the future.</t>
  </si>
  <si>
    <t>Inflation Class B/C</t>
  </si>
  <si>
    <t>Inflation Sales Tax</t>
  </si>
  <si>
    <t>2017 Administrative budget</t>
  </si>
  <si>
    <t>2018 Administrative Proposals</t>
  </si>
  <si>
    <t>Stipends</t>
  </si>
  <si>
    <t>UASD Membership</t>
  </si>
  <si>
    <t>Additional Legal Costs</t>
  </si>
  <si>
    <t>Additional Education &amp; Training</t>
  </si>
  <si>
    <t>Adjustment to the Department directive</t>
  </si>
  <si>
    <t>County Compensation Consideration</t>
  </si>
  <si>
    <t>Adjustments</t>
  </si>
  <si>
    <t>Proposed Adjustments</t>
  </si>
  <si>
    <t>SB277 appplication funding distributed over 3 years ($2.5 million /3)</t>
  </si>
  <si>
    <t>Adjusted Tentative Revenue</t>
  </si>
  <si>
    <t>Additional Sales Tax Projected</t>
  </si>
  <si>
    <t>Additional Class B/C Projected</t>
  </si>
  <si>
    <t>County Overhead Adjustments</t>
  </si>
  <si>
    <t>Increase Personnel Using Offset of County Overhead for Community Outreach, PDS, and MS Stat and General</t>
  </si>
  <si>
    <t>Skunks and Racoons Program</t>
  </si>
  <si>
    <t>Prior Year Rebudget Projects</t>
  </si>
  <si>
    <t>Internal Reductions</t>
  </si>
  <si>
    <t>Prior Year Rebudget Projects Out of Fund Balance</t>
  </si>
  <si>
    <t>Capital Renewal and Replacement Fund</t>
  </si>
  <si>
    <t>Storm Water Capital Fund</t>
  </si>
  <si>
    <t>Additional Projects for Class B/C increase</t>
  </si>
  <si>
    <t>Detail for 2018 budget requests</t>
  </si>
  <si>
    <t>2018 request</t>
  </si>
  <si>
    <t>Total budget requested for 2018</t>
  </si>
  <si>
    <t>Metro Township Administration</t>
  </si>
  <si>
    <t>MSD Administration</t>
  </si>
  <si>
    <t>MSD 2017 Administration budget</t>
  </si>
  <si>
    <t>Stipend for MSD Chair</t>
  </si>
  <si>
    <t>Admin Asst. with benefits</t>
  </si>
  <si>
    <t>Outreach (formerly Township)</t>
  </si>
  <si>
    <t>Contract Services</t>
  </si>
  <si>
    <t>2018 Requested Budget</t>
  </si>
  <si>
    <t>2018 Tentative Budget</t>
  </si>
  <si>
    <t>% of Comp</t>
  </si>
  <si>
    <t>White</t>
  </si>
  <si>
    <t>Total Requests</t>
  </si>
  <si>
    <t>Tentative Budget</t>
  </si>
  <si>
    <t>Total Revenue</t>
  </si>
  <si>
    <t>Adjustments to Projected Revenue</t>
  </si>
  <si>
    <t>Revenue Less Expenses</t>
  </si>
  <si>
    <t>Comments for clarification</t>
  </si>
  <si>
    <t>Stipends are taxable and will be in</t>
  </si>
  <si>
    <t>a separate appropriation unit =</t>
  </si>
  <si>
    <t>GM adjustments for</t>
  </si>
  <si>
    <t>Stipend allowable by law</t>
  </si>
  <si>
    <t>Temp to FT</t>
  </si>
  <si>
    <t>Discussed in 2017…</t>
  </si>
  <si>
    <t>for Special District Trainings</t>
  </si>
  <si>
    <t>Proportion of Mayor and Council forgiving the Millcreek piece</t>
  </si>
  <si>
    <t>Proportion of the award application impact</t>
  </si>
  <si>
    <t>State required contractual obligation</t>
  </si>
  <si>
    <t>the remaining proportion will be from Contract Cities</t>
  </si>
  <si>
    <t>impact of Mayor &amp; Council compensation, and because there</t>
  </si>
  <si>
    <t>are no other Contract Cities to absord = 100%</t>
  </si>
  <si>
    <t>Restore the Department cut</t>
  </si>
  <si>
    <t>See the $564,949 figure below for the</t>
  </si>
  <si>
    <t>Department directive reversal amd more (chip in).</t>
  </si>
  <si>
    <t>impact of Mayor &amp; Council compensation proposal</t>
  </si>
  <si>
    <t>Only Maintenance = more maintenance ($4m asked for) Class B/C up</t>
  </si>
  <si>
    <t>Restore only some of the Department cut (chipped in to PDS)</t>
  </si>
  <si>
    <t>To establish a fund from Class B/C because of $2.5M one year windfall</t>
  </si>
  <si>
    <t>Projects that will not be completed in 2017 and roll into 2018 (with revenue below)</t>
  </si>
  <si>
    <t xml:space="preserve">Deputy Mayor and Department Director will be shifted out </t>
  </si>
  <si>
    <t>midyear with the related funding = no impact</t>
  </si>
  <si>
    <t>Full benefit to PDS (as chip in concept)</t>
  </si>
  <si>
    <t>Reductions because this will be shifted midyear</t>
  </si>
  <si>
    <t>No change needed</t>
  </si>
  <si>
    <t>Equipment replacement = better maintenance ($4K asked for).</t>
  </si>
  <si>
    <t>2017 was $50K (Land use is $50k).  2018 MSD Legal is $105,00 and Land Use is $50,000</t>
  </si>
  <si>
    <t>2 FTE's plus temps</t>
  </si>
  <si>
    <t>Was not restored</t>
  </si>
  <si>
    <t>share of overhead reductions (see others).</t>
  </si>
  <si>
    <t>OH was moved to Personnel in PDS to meet service requirements</t>
  </si>
  <si>
    <t>Sales tax offset by SB277 funds in PWOps</t>
  </si>
  <si>
    <t>Increase Revenues from SB277</t>
  </si>
  <si>
    <t>Reduce Sales Tax Dollars as offset to SB277</t>
  </si>
  <si>
    <t>In 2017 $1.9m in CIP was adjusted (PWOps and Parks)</t>
  </si>
  <si>
    <t>Shift to PWOps and Parks</t>
  </si>
  <si>
    <t>In 2018 this will be moved out of the GSLMSD</t>
  </si>
  <si>
    <t>No change</t>
  </si>
  <si>
    <t xml:space="preserve">Sales Tax projections increase </t>
  </si>
  <si>
    <t>Class B/C legislative hold harmless</t>
  </si>
  <si>
    <t>WFRC</t>
  </si>
  <si>
    <t>Revenue projection adjustments</t>
  </si>
  <si>
    <t>Transfer from internal orgs</t>
  </si>
  <si>
    <t>Transfers from outside orgs</t>
  </si>
  <si>
    <t>Carryover projects not completed in 2017</t>
  </si>
  <si>
    <t>From other Cities (expepnditure above)</t>
  </si>
  <si>
    <t>are included above.</t>
  </si>
  <si>
    <t>rebudgeted in 2018 - expenditures</t>
  </si>
  <si>
    <t>Capacity constraints on $2.5 million (B/C)</t>
  </si>
  <si>
    <t>Metro Townships, GSLMSD and Division proposed budgets</t>
  </si>
  <si>
    <t>Revenue Totals</t>
  </si>
  <si>
    <t>Emigration Canyon</t>
  </si>
  <si>
    <t>Budgets</t>
  </si>
  <si>
    <t>budgets</t>
  </si>
  <si>
    <t>Difference</t>
  </si>
  <si>
    <t>Check Figures</t>
  </si>
  <si>
    <t>check figure for Metro Administrative Budgets</t>
  </si>
  <si>
    <t>GSLMSD variance 2017 to 2018</t>
  </si>
  <si>
    <t>Additional GSLMSD items added in 2018</t>
  </si>
  <si>
    <t>check figure for Metro Administrative + GSLMSD Budgets</t>
  </si>
  <si>
    <t>to verify changes</t>
  </si>
  <si>
    <t>in budgets</t>
  </si>
  <si>
    <t>Administrative budgets</t>
  </si>
  <si>
    <t>Contracted Services</t>
  </si>
  <si>
    <t>Administrative Expenditure Subtotals</t>
  </si>
  <si>
    <t>Contracted Services Subtotals</t>
  </si>
  <si>
    <t>for discussion at the December 13, 2017 Public Hearing for the Greater Salt Lake Municipal Services District</t>
  </si>
  <si>
    <t>2018-2017</t>
  </si>
  <si>
    <t>Changes</t>
  </si>
  <si>
    <t>Description</t>
  </si>
  <si>
    <t>Now budgeted in Eng.</t>
  </si>
  <si>
    <t>Municipal Services Capital Improvements</t>
  </si>
  <si>
    <t>Estimated Total Revenues for the Current Fiscal Year</t>
  </si>
  <si>
    <t>Budget Officer Estimates of Revenues for the Budget Year</t>
  </si>
  <si>
    <t>Budget Officer Estimates of Expenditures for the Budget Year</t>
  </si>
  <si>
    <t>Estimated Total Expenditures for the Current Fiscal Year</t>
  </si>
  <si>
    <t>2018 Tentative Administrative Budgets, Contracted Services, and Fund Balance</t>
  </si>
  <si>
    <t>The First Full Fiscal Year of operation is 2017, so the actual revenues and expenditures of the prior completed fiscal year are not yet available.</t>
  </si>
  <si>
    <t>n/a</t>
  </si>
  <si>
    <t>Capital Projects carry forward revenue</t>
  </si>
  <si>
    <t>Net Revenues - Expenditures</t>
  </si>
  <si>
    <t>Total Expenditures</t>
  </si>
  <si>
    <t>Interfund Revenue for dangerous sidewalks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</si>
</sst>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0.00000000000"/>
    <numFmt numFmtId="16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0" fontId="5" fillId="0" borderId="0" xfId="0" applyFont="1"/>
    <xf numFmtId="165" fontId="4" fillId="0" borderId="0" xfId="0" applyNumberFormat="1" applyFont="1"/>
    <xf numFmtId="165" fontId="0" fillId="0" borderId="0" xfId="1" applyNumberFormat="1" applyFont="1"/>
    <xf numFmtId="164" fontId="4" fillId="0" borderId="0" xfId="0" applyNumberFormat="1" applyFont="1"/>
    <xf numFmtId="0" fontId="0" fillId="0" borderId="0" xfId="0" applyAlignment="1">
      <alignment wrapText="1"/>
    </xf>
    <xf numFmtId="44" fontId="0" fillId="0" borderId="0" xfId="1" applyNumberFormat="1" applyFont="1"/>
    <xf numFmtId="165" fontId="6" fillId="0" borderId="0" xfId="0" applyNumberFormat="1" applyFont="1"/>
    <xf numFmtId="0" fontId="6" fillId="0" borderId="0" xfId="0" applyFont="1"/>
    <xf numFmtId="165" fontId="7" fillId="0" borderId="0" xfId="0" applyNumberFormat="1" applyFont="1"/>
    <xf numFmtId="0" fontId="7" fillId="0" borderId="0" xfId="0" applyFont="1"/>
    <xf numFmtId="165" fontId="2" fillId="0" borderId="0" xfId="0" applyNumberFormat="1" applyFont="1"/>
    <xf numFmtId="0" fontId="2" fillId="0" borderId="0" xfId="0" applyFont="1"/>
    <xf numFmtId="0" fontId="8" fillId="0" borderId="0" xfId="0" applyFont="1"/>
    <xf numFmtId="165" fontId="5" fillId="0" borderId="0" xfId="0" applyNumberFormat="1" applyFont="1"/>
    <xf numFmtId="0" fontId="9" fillId="0" borderId="0" xfId="0" applyFont="1" applyAlignment="1">
      <alignment horizontal="right"/>
    </xf>
    <xf numFmtId="165" fontId="0" fillId="0" borderId="1" xfId="0" applyNumberForma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applyNumberFormat="1" applyFont="1"/>
    <xf numFmtId="0" fontId="10" fillId="0" borderId="0" xfId="0" applyFont="1"/>
    <xf numFmtId="165" fontId="10" fillId="0" borderId="0" xfId="0" applyNumberFormat="1" applyFont="1"/>
    <xf numFmtId="0" fontId="11" fillId="0" borderId="0" xfId="0" applyFont="1"/>
    <xf numFmtId="165" fontId="3" fillId="0" borderId="0" xfId="0" applyNumberFormat="1" applyFont="1"/>
    <xf numFmtId="0" fontId="12" fillId="0" borderId="0" xfId="0" applyFont="1"/>
    <xf numFmtId="0" fontId="0" fillId="0" borderId="0" xfId="0" applyAlignment="1">
      <alignment horizontal="center"/>
    </xf>
    <xf numFmtId="0" fontId="13" fillId="0" borderId="2" xfId="0" applyFont="1" applyBorder="1"/>
    <xf numFmtId="0" fontId="6" fillId="0" borderId="0" xfId="0" applyFont="1" applyAlignment="1">
      <alignment horizontal="center"/>
    </xf>
    <xf numFmtId="10" fontId="0" fillId="0" borderId="0" xfId="0" applyNumberFormat="1"/>
    <xf numFmtId="2" fontId="0" fillId="0" borderId="0" xfId="0" applyNumberFormat="1"/>
    <xf numFmtId="165" fontId="0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164" fontId="0" fillId="0" borderId="0" xfId="0" applyNumberFormat="1"/>
    <xf numFmtId="0" fontId="0" fillId="2" borderId="0" xfId="0" applyFill="1"/>
    <xf numFmtId="0" fontId="6" fillId="2" borderId="0" xfId="0" applyFont="1" applyFill="1" applyAlignment="1">
      <alignment horizontal="center"/>
    </xf>
    <xf numFmtId="166" fontId="0" fillId="0" borderId="0" xfId="0" applyNumberFormat="1"/>
    <xf numFmtId="166" fontId="0" fillId="2" borderId="0" xfId="2" applyNumberFormat="1" applyFont="1" applyFill="1"/>
    <xf numFmtId="9" fontId="0" fillId="2" borderId="0" xfId="3" applyFont="1" applyFill="1"/>
    <xf numFmtId="9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167" fontId="0" fillId="0" borderId="0" xfId="0" applyNumberFormat="1"/>
    <xf numFmtId="167" fontId="0" fillId="2" borderId="0" xfId="0" applyNumberFormat="1" applyFill="1"/>
    <xf numFmtId="165" fontId="6" fillId="2" borderId="0" xfId="0" applyNumberFormat="1" applyFont="1" applyFill="1"/>
    <xf numFmtId="166" fontId="0" fillId="0" borderId="0" xfId="2" applyNumberFormat="1" applyFont="1"/>
    <xf numFmtId="10" fontId="0" fillId="2" borderId="0" xfId="0" applyNumberFormat="1" applyFill="1"/>
    <xf numFmtId="0" fontId="8" fillId="2" borderId="0" xfId="0" applyFont="1" applyFill="1"/>
    <xf numFmtId="165" fontId="15" fillId="0" borderId="0" xfId="0" applyNumberFormat="1" applyFont="1" applyAlignment="1">
      <alignment horizontal="right" vertical="center"/>
    </xf>
    <xf numFmtId="2" fontId="0" fillId="2" borderId="0" xfId="0" applyNumberFormat="1" applyFill="1"/>
    <xf numFmtId="165" fontId="14" fillId="0" borderId="0" xfId="0" applyNumberFormat="1" applyFont="1"/>
    <xf numFmtId="164" fontId="14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5" fontId="16" fillId="0" borderId="0" xfId="0" applyNumberFormat="1" applyFont="1"/>
    <xf numFmtId="165" fontId="16" fillId="0" borderId="0" xfId="0" applyNumberFormat="1" applyFont="1" applyAlignment="1">
      <alignment horizontal="left"/>
    </xf>
    <xf numFmtId="0" fontId="18" fillId="0" borderId="0" xfId="0" applyFont="1"/>
    <xf numFmtId="165" fontId="18" fillId="0" borderId="0" xfId="0" applyNumberFormat="1" applyFont="1"/>
    <xf numFmtId="165" fontId="18" fillId="0" borderId="1" xfId="0" applyNumberFormat="1" applyFont="1" applyBorder="1"/>
    <xf numFmtId="165" fontId="18" fillId="0" borderId="0" xfId="0" applyNumberFormat="1" applyFont="1" applyBorder="1"/>
    <xf numFmtId="164" fontId="16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5" fontId="16" fillId="0" borderId="1" xfId="0" applyNumberFormat="1" applyFont="1" applyBorder="1"/>
    <xf numFmtId="0" fontId="16" fillId="0" borderId="0" xfId="0" applyFont="1" applyAlignment="1">
      <alignment wrapText="1"/>
    </xf>
    <xf numFmtId="44" fontId="16" fillId="0" borderId="0" xfId="1" applyNumberFormat="1" applyFont="1"/>
    <xf numFmtId="164" fontId="0" fillId="0" borderId="0" xfId="2" applyNumberFormat="1" applyFont="1"/>
    <xf numFmtId="165" fontId="16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5" fontId="0" fillId="0" borderId="0" xfId="0" applyNumberFormat="1" applyFill="1"/>
    <xf numFmtId="165" fontId="4" fillId="0" borderId="0" xfId="0" applyNumberFormat="1" applyFon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/>
    </xf>
    <xf numFmtId="165" fontId="6" fillId="3" borderId="0" xfId="0" applyNumberFormat="1" applyFont="1" applyFill="1"/>
    <xf numFmtId="165" fontId="7" fillId="3" borderId="0" xfId="0" applyNumberFormat="1" applyFont="1" applyFill="1"/>
    <xf numFmtId="165" fontId="7" fillId="3" borderId="1" xfId="0" applyNumberFormat="1" applyFont="1" applyFill="1" applyBorder="1"/>
    <xf numFmtId="165" fontId="0" fillId="3" borderId="0" xfId="0" applyNumberFormat="1" applyFill="1"/>
    <xf numFmtId="165" fontId="4" fillId="3" borderId="0" xfId="0" applyNumberFormat="1" applyFont="1" applyFill="1"/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65" fontId="0" fillId="4" borderId="0" xfId="0" applyNumberFormat="1" applyFill="1"/>
    <xf numFmtId="165" fontId="4" fillId="4" borderId="0" xfId="0" applyNumberFormat="1" applyFont="1" applyFill="1"/>
    <xf numFmtId="0" fontId="15" fillId="0" borderId="0" xfId="0" applyFont="1"/>
    <xf numFmtId="0" fontId="20" fillId="0" borderId="0" xfId="0" applyFont="1"/>
    <xf numFmtId="164" fontId="0" fillId="4" borderId="0" xfId="0" applyNumberFormat="1" applyFill="1"/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5" fontId="0" fillId="5" borderId="0" xfId="0" applyNumberFormat="1" applyFill="1"/>
    <xf numFmtId="165" fontId="4" fillId="5" borderId="0" xfId="0" applyNumberFormat="1" applyFont="1" applyFill="1"/>
    <xf numFmtId="15" fontId="0" fillId="0" borderId="0" xfId="0" applyNumberFormat="1"/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Fill="1"/>
    <xf numFmtId="165" fontId="22" fillId="0" borderId="0" xfId="0" applyNumberFormat="1" applyFont="1"/>
    <xf numFmtId="165" fontId="22" fillId="4" borderId="0" xfId="0" applyNumberFormat="1" applyFont="1" applyFill="1"/>
    <xf numFmtId="0" fontId="23" fillId="0" borderId="0" xfId="0" applyFont="1"/>
    <xf numFmtId="0" fontId="23" fillId="3" borderId="0" xfId="0" applyFont="1" applyFill="1"/>
    <xf numFmtId="0" fontId="23" fillId="0" borderId="0" xfId="0" applyFont="1" applyFill="1"/>
    <xf numFmtId="0" fontId="23" fillId="5" borderId="0" xfId="0" applyFont="1" applyFill="1"/>
    <xf numFmtId="44" fontId="0" fillId="0" borderId="0" xfId="1" applyFont="1"/>
    <xf numFmtId="168" fontId="0" fillId="0" borderId="0" xfId="2" applyNumberFormat="1" applyFont="1"/>
    <xf numFmtId="44" fontId="2" fillId="0" borderId="0" xfId="1" applyFont="1"/>
    <xf numFmtId="43" fontId="0" fillId="0" borderId="0" xfId="2" applyFont="1"/>
    <xf numFmtId="0" fontId="4" fillId="0" borderId="0" xfId="0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2" borderId="4" xfId="0" applyNumberFormat="1" applyFill="1" applyBorder="1"/>
    <xf numFmtId="165" fontId="4" fillId="2" borderId="4" xfId="0" applyNumberFormat="1" applyFont="1" applyFill="1" applyBorder="1"/>
    <xf numFmtId="165" fontId="4" fillId="2" borderId="5" xfId="0" applyNumberFormat="1" applyFont="1" applyFill="1" applyBorder="1"/>
    <xf numFmtId="165" fontId="4" fillId="2" borderId="3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/>
    <xf numFmtId="165" fontId="0" fillId="2" borderId="4" xfId="0" quotePrefix="1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21" fillId="2" borderId="4" xfId="0" applyNumberFormat="1" applyFont="1" applyFill="1" applyBorder="1"/>
    <xf numFmtId="165" fontId="6" fillId="2" borderId="4" xfId="0" applyNumberFormat="1" applyFont="1" applyFill="1" applyBorder="1"/>
    <xf numFmtId="165" fontId="23" fillId="2" borderId="4" xfId="0" applyNumberFormat="1" applyFont="1" applyFill="1" applyBorder="1"/>
    <xf numFmtId="0" fontId="0" fillId="0" borderId="1" xfId="0" applyBorder="1"/>
    <xf numFmtId="0" fontId="2" fillId="0" borderId="6" xfId="0" applyFont="1" applyBorder="1"/>
    <xf numFmtId="0" fontId="0" fillId="0" borderId="6" xfId="0" applyBorder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6" fillId="0" borderId="0" xfId="0" applyFont="1" applyBorder="1"/>
    <xf numFmtId="0" fontId="0" fillId="0" borderId="0" xfId="0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165" fontId="7" fillId="0" borderId="0" xfId="0" applyNumberFormat="1" applyFont="1" applyBorder="1"/>
    <xf numFmtId="165" fontId="2" fillId="0" borderId="0" xfId="0" applyNumberFormat="1" applyFont="1" applyBorder="1"/>
    <xf numFmtId="165" fontId="0" fillId="0" borderId="0" xfId="0" applyNumberForma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5" fontId="6" fillId="0" borderId="11" xfId="0" applyNumberFormat="1" applyFont="1" applyBorder="1"/>
    <xf numFmtId="165" fontId="0" fillId="0" borderId="8" xfId="0" applyNumberFormat="1" applyBorder="1"/>
    <xf numFmtId="0" fontId="0" fillId="0" borderId="8" xfId="0" applyBorder="1"/>
    <xf numFmtId="0" fontId="7" fillId="0" borderId="8" xfId="0" applyFont="1" applyBorder="1" applyAlignment="1">
      <alignment horizontal="right"/>
    </xf>
    <xf numFmtId="0" fontId="0" fillId="0" borderId="11" xfId="0" applyBorder="1"/>
    <xf numFmtId="0" fontId="7" fillId="0" borderId="11" xfId="0" applyFont="1" applyBorder="1" applyAlignment="1">
      <alignment horizontal="right"/>
    </xf>
    <xf numFmtId="165" fontId="0" fillId="0" borderId="11" xfId="0" applyNumberFormat="1" applyBorder="1"/>
    <xf numFmtId="0" fontId="0" fillId="0" borderId="12" xfId="0" applyBorder="1"/>
    <xf numFmtId="165" fontId="0" fillId="0" borderId="12" xfId="1" applyNumberFormat="1" applyFont="1" applyBorder="1"/>
    <xf numFmtId="165" fontId="0" fillId="2" borderId="3" xfId="0" applyNumberFormat="1" applyFill="1" applyBorder="1"/>
    <xf numFmtId="165" fontId="0" fillId="0" borderId="0" xfId="0" applyNumberForma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165" fontId="6" fillId="0" borderId="0" xfId="0" applyNumberFormat="1" applyFont="1" applyBorder="1"/>
    <xf numFmtId="0" fontId="0" fillId="0" borderId="0" xfId="0" applyFill="1" applyBorder="1"/>
    <xf numFmtId="165" fontId="2" fillId="0" borderId="12" xfId="0" applyNumberFormat="1" applyFont="1" applyBorder="1"/>
    <xf numFmtId="165" fontId="8" fillId="0" borderId="12" xfId="0" applyNumberFormat="1" applyFont="1" applyBorder="1"/>
    <xf numFmtId="165" fontId="8" fillId="0" borderId="0" xfId="0" applyNumberFormat="1" applyFont="1" applyBorder="1"/>
    <xf numFmtId="0" fontId="2" fillId="0" borderId="12" xfId="0" applyFont="1" applyBorder="1"/>
    <xf numFmtId="0" fontId="0" fillId="2" borderId="4" xfId="0" applyFill="1" applyBorder="1"/>
    <xf numFmtId="165" fontId="0" fillId="0" borderId="0" xfId="0" applyNumberFormat="1" applyFill="1" applyBorder="1"/>
    <xf numFmtId="165" fontId="2" fillId="3" borderId="0" xfId="0" applyNumberFormat="1" applyFont="1" applyFill="1"/>
    <xf numFmtId="165" fontId="3" fillId="3" borderId="0" xfId="0" applyNumberFormat="1" applyFont="1" applyFill="1"/>
    <xf numFmtId="165" fontId="15" fillId="3" borderId="0" xfId="0" applyNumberFormat="1" applyFont="1" applyFill="1"/>
    <xf numFmtId="165" fontId="2" fillId="3" borderId="0" xfId="0" applyNumberFormat="1" applyFont="1" applyFill="1" applyBorder="1"/>
    <xf numFmtId="165" fontId="8" fillId="3" borderId="0" xfId="0" applyNumberFormat="1" applyFont="1" applyFill="1" applyAlignment="1">
      <alignment horizontal="right"/>
    </xf>
    <xf numFmtId="165" fontId="15" fillId="3" borderId="11" xfId="0" applyNumberFormat="1" applyFont="1" applyFill="1" applyBorder="1"/>
    <xf numFmtId="165" fontId="3" fillId="3" borderId="2" xfId="0" applyNumberFormat="1" applyFont="1" applyFill="1" applyBorder="1"/>
    <xf numFmtId="0" fontId="10" fillId="0" borderId="0" xfId="0" applyFont="1" applyBorder="1"/>
    <xf numFmtId="165" fontId="3" fillId="2" borderId="6" xfId="0" applyNumberFormat="1" applyFont="1" applyFill="1" applyBorder="1" applyAlignment="1">
      <alignment horizontal="right" wrapText="1"/>
    </xf>
    <xf numFmtId="165" fontId="3" fillId="3" borderId="6" xfId="0" applyNumberFormat="1" applyFont="1" applyFill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165" fontId="2" fillId="0" borderId="6" xfId="0" applyNumberFormat="1" applyFont="1" applyBorder="1"/>
    <xf numFmtId="0" fontId="3" fillId="0" borderId="6" xfId="0" applyFont="1" applyBorder="1" applyAlignment="1">
      <alignment horizontal="right" wrapText="1"/>
    </xf>
    <xf numFmtId="0" fontId="13" fillId="0" borderId="0" xfId="0" applyFont="1"/>
    <xf numFmtId="165" fontId="3" fillId="2" borderId="5" xfId="0" applyNumberFormat="1" applyFont="1" applyFill="1" applyBorder="1"/>
    <xf numFmtId="165" fontId="13" fillId="0" borderId="0" xfId="0" applyNumberFormat="1" applyFont="1" applyFill="1" applyBorder="1"/>
    <xf numFmtId="165" fontId="3" fillId="3" borderId="11" xfId="0" applyNumberFormat="1" applyFont="1" applyFill="1" applyBorder="1"/>
    <xf numFmtId="165" fontId="3" fillId="2" borderId="2" xfId="0" applyNumberFormat="1" applyFont="1" applyFill="1" applyBorder="1"/>
    <xf numFmtId="165" fontId="0" fillId="2" borderId="13" xfId="0" applyNumberFormat="1" applyFill="1" applyBorder="1"/>
    <xf numFmtId="165" fontId="2" fillId="2" borderId="13" xfId="0" applyNumberFormat="1" applyFont="1" applyFill="1" applyBorder="1"/>
    <xf numFmtId="0" fontId="0" fillId="0" borderId="0" xfId="0" applyAlignment="1">
      <alignment horizontal="right"/>
    </xf>
    <xf numFmtId="165" fontId="0" fillId="0" borderId="6" xfId="0" applyNumberFormat="1" applyBorder="1"/>
    <xf numFmtId="0" fontId="3" fillId="0" borderId="0" xfId="0" applyFont="1" applyFill="1" applyBorder="1"/>
    <xf numFmtId="165" fontId="3" fillId="0" borderId="0" xfId="0" applyNumberFormat="1" applyFont="1" applyBorder="1"/>
    <xf numFmtId="0" fontId="3" fillId="0" borderId="0" xfId="0" applyFont="1" applyFill="1" applyBorder="1" applyAlignment="1">
      <alignment horizontal="right"/>
    </xf>
    <xf numFmtId="0" fontId="26" fillId="0" borderId="0" xfId="0" applyFont="1"/>
    <xf numFmtId="165" fontId="6" fillId="0" borderId="6" xfId="0" applyNumberFormat="1" applyFont="1" applyBorder="1" applyAlignment="1">
      <alignment horizontal="right"/>
    </xf>
    <xf numFmtId="0" fontId="10" fillId="0" borderId="0" xfId="0" quotePrefix="1" applyFont="1" applyAlignment="1">
      <alignment horizontal="right"/>
    </xf>
    <xf numFmtId="0" fontId="6" fillId="0" borderId="6" xfId="0" applyFont="1" applyBorder="1"/>
    <xf numFmtId="0" fontId="22" fillId="0" borderId="0" xfId="0" applyFont="1"/>
    <xf numFmtId="165" fontId="6" fillId="0" borderId="6" xfId="0" applyNumberFormat="1" applyFont="1" applyBorder="1" applyAlignment="1">
      <alignment horizontal="center" wrapText="1"/>
    </xf>
    <xf numFmtId="0" fontId="0" fillId="0" borderId="6" xfId="0" applyFont="1" applyBorder="1"/>
    <xf numFmtId="165" fontId="27" fillId="0" borderId="6" xfId="0" applyNumberFormat="1" applyFont="1" applyBorder="1" applyAlignment="1">
      <alignment horizontal="right"/>
    </xf>
    <xf numFmtId="0" fontId="28" fillId="0" borderId="0" xfId="0" applyFont="1"/>
    <xf numFmtId="165" fontId="0" fillId="0" borderId="6" xfId="0" applyNumberFormat="1" applyBorder="1" applyAlignment="1">
      <alignment horizontal="right"/>
    </xf>
    <xf numFmtId="0" fontId="3" fillId="0" borderId="0" xfId="0" applyFont="1" applyAlignment="1">
      <alignment horizontal="right"/>
    </xf>
    <xf numFmtId="165" fontId="0" fillId="0" borderId="6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abSelected="1" topLeftCell="A5" workbookViewId="0">
      <selection activeCell="B13" sqref="B13"/>
    </sheetView>
  </sheetViews>
  <sheetFormatPr defaultRowHeight="15" x14ac:dyDescent="0.25"/>
  <cols>
    <col min="1" max="1" width="23.140625" customWidth="1"/>
    <col min="2" max="2" width="61.28515625" customWidth="1"/>
    <col min="3" max="3" width="18.140625" customWidth="1"/>
    <col min="4" max="4" width="20" customWidth="1"/>
    <col min="5" max="5" width="19.7109375" customWidth="1"/>
  </cols>
  <sheetData>
    <row r="1" spans="1:5" ht="33.75" x14ac:dyDescent="0.5">
      <c r="A1" s="203" t="s">
        <v>309</v>
      </c>
    </row>
    <row r="2" spans="1:5" ht="21" x14ac:dyDescent="0.35">
      <c r="A2" s="2" t="s">
        <v>299</v>
      </c>
    </row>
    <row r="3" spans="1:5" ht="15.75" x14ac:dyDescent="0.25">
      <c r="A3" s="207" t="s">
        <v>310</v>
      </c>
    </row>
    <row r="4" spans="1:5" ht="15.75" x14ac:dyDescent="0.25">
      <c r="A4" s="207"/>
    </row>
    <row r="5" spans="1:5" ht="23.25" x14ac:dyDescent="0.35">
      <c r="A5" s="211"/>
      <c r="B5" s="211"/>
      <c r="C5" s="211"/>
      <c r="D5" s="211"/>
      <c r="E5" s="211"/>
    </row>
    <row r="6" spans="1:5" ht="15.75" x14ac:dyDescent="0.25">
      <c r="A6" s="207"/>
    </row>
    <row r="7" spans="1:5" ht="23.25" x14ac:dyDescent="0.35">
      <c r="A7" s="3" t="s">
        <v>30</v>
      </c>
      <c r="B7" s="2"/>
      <c r="C7" s="2">
        <v>2017</v>
      </c>
      <c r="D7" s="205" t="s">
        <v>300</v>
      </c>
      <c r="E7" s="2">
        <v>2018</v>
      </c>
    </row>
    <row r="8" spans="1:5" ht="63" x14ac:dyDescent="0.25">
      <c r="B8" s="206" t="s">
        <v>302</v>
      </c>
      <c r="C8" s="208" t="s">
        <v>305</v>
      </c>
      <c r="D8" s="204" t="s">
        <v>301</v>
      </c>
      <c r="E8" s="208" t="s">
        <v>306</v>
      </c>
    </row>
    <row r="9" spans="1:5" x14ac:dyDescent="0.25">
      <c r="B9" s="141" t="s">
        <v>31</v>
      </c>
      <c r="C9" s="199">
        <v>18400000</v>
      </c>
      <c r="D9" s="199">
        <f t="shared" ref="D9:D21" si="0">E9-C9</f>
        <v>-3300000.0000000019</v>
      </c>
      <c r="E9" s="199">
        <f>'Proposed Tentative'!J130</f>
        <v>15099999.999999998</v>
      </c>
    </row>
    <row r="10" spans="1:5" x14ac:dyDescent="0.25">
      <c r="B10" s="141" t="s">
        <v>34</v>
      </c>
      <c r="C10" s="199">
        <v>5600000</v>
      </c>
      <c r="D10" s="199">
        <f t="shared" si="0"/>
        <v>-10000</v>
      </c>
      <c r="E10" s="199">
        <f>'Proposed Tentative'!J133</f>
        <v>5590000</v>
      </c>
    </row>
    <row r="11" spans="1:5" x14ac:dyDescent="0.25">
      <c r="B11" s="141" t="s">
        <v>63</v>
      </c>
      <c r="C11" s="199">
        <v>0</v>
      </c>
      <c r="D11" s="199">
        <f t="shared" si="0"/>
        <v>200000</v>
      </c>
      <c r="E11" s="199">
        <f>'Proposed Tentative'!J134</f>
        <v>200000</v>
      </c>
    </row>
    <row r="12" spans="1:5" x14ac:dyDescent="0.25">
      <c r="B12" s="141" t="s">
        <v>315</v>
      </c>
      <c r="C12" s="199">
        <v>50000</v>
      </c>
      <c r="D12" s="199">
        <f t="shared" si="0"/>
        <v>0</v>
      </c>
      <c r="E12" s="199">
        <f>'Proposed Tentative'!J135</f>
        <v>50000</v>
      </c>
    </row>
    <row r="13" spans="1:5" x14ac:dyDescent="0.25">
      <c r="B13" s="141" t="s">
        <v>74</v>
      </c>
      <c r="C13" s="199">
        <v>1200000</v>
      </c>
      <c r="D13" s="199">
        <f t="shared" si="0"/>
        <v>-1100000</v>
      </c>
      <c r="E13" s="199">
        <f>'Proposed Tentative'!J136</f>
        <v>100000</v>
      </c>
    </row>
    <row r="14" spans="1:5" x14ac:dyDescent="0.25">
      <c r="B14" s="141" t="s">
        <v>35</v>
      </c>
      <c r="C14" s="199">
        <v>880000</v>
      </c>
      <c r="D14" s="199">
        <f t="shared" si="0"/>
        <v>-259000</v>
      </c>
      <c r="E14" s="199">
        <f>'Proposed Tentative'!J137</f>
        <v>621000</v>
      </c>
    </row>
    <row r="15" spans="1:5" x14ac:dyDescent="0.25">
      <c r="B15" s="141" t="s">
        <v>36</v>
      </c>
      <c r="C15" s="199">
        <v>48000</v>
      </c>
      <c r="D15" s="199">
        <f t="shared" si="0"/>
        <v>0</v>
      </c>
      <c r="E15" s="199">
        <f>'Proposed Tentative'!J138</f>
        <v>48000</v>
      </c>
    </row>
    <row r="16" spans="1:5" x14ac:dyDescent="0.25">
      <c r="B16" s="141" t="s">
        <v>37</v>
      </c>
      <c r="C16" s="199">
        <v>1100000</v>
      </c>
      <c r="D16" s="199">
        <f t="shared" si="0"/>
        <v>-440000</v>
      </c>
      <c r="E16" s="199">
        <f>'Proposed Tentative'!J139</f>
        <v>660000</v>
      </c>
    </row>
    <row r="17" spans="1:5" x14ac:dyDescent="0.25">
      <c r="B17" s="141" t="s">
        <v>58</v>
      </c>
      <c r="C17" s="199">
        <v>1500000</v>
      </c>
      <c r="D17" s="199">
        <f t="shared" si="0"/>
        <v>-15000</v>
      </c>
      <c r="E17" s="199">
        <f>'Proposed Tentative'!J140</f>
        <v>1485000</v>
      </c>
    </row>
    <row r="18" spans="1:5" x14ac:dyDescent="0.25">
      <c r="B18" s="141" t="s">
        <v>69</v>
      </c>
      <c r="C18" s="199">
        <v>100000</v>
      </c>
      <c r="D18" s="199">
        <f t="shared" si="0"/>
        <v>20000</v>
      </c>
      <c r="E18" s="199">
        <f>'Proposed Tentative'!J141</f>
        <v>120000</v>
      </c>
    </row>
    <row r="19" spans="1:5" x14ac:dyDescent="0.25">
      <c r="B19" s="141" t="s">
        <v>71</v>
      </c>
      <c r="C19" s="199">
        <v>145000</v>
      </c>
      <c r="D19" s="199">
        <f t="shared" si="0"/>
        <v>200000</v>
      </c>
      <c r="E19" s="199">
        <f>'Proposed Tentative'!J142</f>
        <v>345000</v>
      </c>
    </row>
    <row r="20" spans="1:5" x14ac:dyDescent="0.25">
      <c r="B20" s="209" t="s">
        <v>199</v>
      </c>
      <c r="C20" s="199">
        <v>0</v>
      </c>
      <c r="D20" s="199">
        <f t="shared" si="0"/>
        <v>781355</v>
      </c>
      <c r="E20" s="199">
        <f>'Proposed Tentative'!J143</f>
        <v>781355</v>
      </c>
    </row>
    <row r="21" spans="1:5" x14ac:dyDescent="0.25">
      <c r="B21" s="209" t="s">
        <v>312</v>
      </c>
      <c r="C21" s="199">
        <v>5535000</v>
      </c>
      <c r="D21" s="199">
        <f t="shared" si="0"/>
        <v>2293932</v>
      </c>
      <c r="E21" s="214">
        <v>7828932</v>
      </c>
    </row>
    <row r="22" spans="1:5" ht="21" x14ac:dyDescent="0.35">
      <c r="A22" s="146"/>
      <c r="B22" s="202" t="s">
        <v>283</v>
      </c>
      <c r="C22" s="201">
        <f>SUM(C9:C21)</f>
        <v>34558000</v>
      </c>
      <c r="D22" s="201">
        <f>SUM(D9:D21)</f>
        <v>-1628713.0000000019</v>
      </c>
      <c r="E22" s="201">
        <f>SUM(E9:E21)</f>
        <v>32929287</v>
      </c>
    </row>
    <row r="24" spans="1:5" ht="21" x14ac:dyDescent="0.35">
      <c r="C24" s="2"/>
      <c r="D24" s="2"/>
      <c r="E24" s="2"/>
    </row>
    <row r="27" spans="1:5" ht="64.5" x14ac:dyDescent="0.35">
      <c r="A27" s="3" t="s">
        <v>29</v>
      </c>
      <c r="C27" s="208" t="s">
        <v>308</v>
      </c>
      <c r="D27" s="204" t="s">
        <v>301</v>
      </c>
      <c r="E27" s="208" t="s">
        <v>307</v>
      </c>
    </row>
    <row r="28" spans="1:5" x14ac:dyDescent="0.25">
      <c r="A28" t="s">
        <v>295</v>
      </c>
      <c r="B28" s="141" t="s">
        <v>1</v>
      </c>
      <c r="C28" s="199">
        <f>'Proposed Tentative'!B7</f>
        <v>99048</v>
      </c>
      <c r="D28" s="199">
        <f t="shared" ref="D28:D35" si="1">E28-C28</f>
        <v>68971.44</v>
      </c>
      <c r="E28" s="199">
        <f>'Proposed Tentative'!B9+'Proposed Tentative'!B10</f>
        <v>168019.44</v>
      </c>
    </row>
    <row r="29" spans="1:5" x14ac:dyDescent="0.25">
      <c r="B29" s="141" t="s">
        <v>284</v>
      </c>
      <c r="C29" s="199">
        <f>'Proposed Tentative'!C7</f>
        <v>89786</v>
      </c>
      <c r="D29" s="199">
        <f t="shared" si="1"/>
        <v>68693.580000000016</v>
      </c>
      <c r="E29" s="199">
        <f>'Proposed Tentative'!C9+'Proposed Tentative'!C10</f>
        <v>158479.58000000002</v>
      </c>
    </row>
    <row r="30" spans="1:5" x14ac:dyDescent="0.25">
      <c r="B30" s="141" t="s">
        <v>3</v>
      </c>
      <c r="C30" s="199">
        <f>'Proposed Tentative'!D7</f>
        <v>149449</v>
      </c>
      <c r="D30" s="199">
        <f t="shared" si="1"/>
        <v>70483.47</v>
      </c>
      <c r="E30" s="199">
        <f>'Proposed Tentative'!D9+'Proposed Tentative'!D10</f>
        <v>219932.47</v>
      </c>
    </row>
    <row r="31" spans="1:5" x14ac:dyDescent="0.25">
      <c r="B31" s="141" t="s">
        <v>4</v>
      </c>
      <c r="C31" s="199">
        <f>'Proposed Tentative'!E7</f>
        <v>189150</v>
      </c>
      <c r="D31" s="199">
        <f t="shared" si="1"/>
        <v>71674.5</v>
      </c>
      <c r="E31" s="199">
        <f>'Proposed Tentative'!E9+'Proposed Tentative'!E10</f>
        <v>260824.5</v>
      </c>
    </row>
    <row r="32" spans="1:5" x14ac:dyDescent="0.25">
      <c r="B32" s="141" t="s">
        <v>110</v>
      </c>
      <c r="C32" s="199">
        <f>'Proposed Tentative'!F7</f>
        <v>119599</v>
      </c>
      <c r="D32" s="199">
        <f t="shared" si="1"/>
        <v>69587.97</v>
      </c>
      <c r="E32" s="199">
        <f>'Proposed Tentative'!F9+'Proposed Tentative'!F10</f>
        <v>189186.97</v>
      </c>
    </row>
    <row r="33" spans="1:5" x14ac:dyDescent="0.25">
      <c r="B33" s="141" t="s">
        <v>10</v>
      </c>
      <c r="C33" s="199">
        <f>'Proposed Tentative'!G7</f>
        <v>32833</v>
      </c>
      <c r="D33" s="199">
        <f t="shared" si="1"/>
        <v>0</v>
      </c>
      <c r="E33" s="199">
        <f>'Proposed Tentative'!G9</f>
        <v>32833</v>
      </c>
    </row>
    <row r="34" spans="1:5" x14ac:dyDescent="0.25">
      <c r="B34" s="141" t="s">
        <v>165</v>
      </c>
      <c r="C34" s="199">
        <f>'Proposed Tentative'!G14</f>
        <v>346960</v>
      </c>
      <c r="D34" s="199">
        <f t="shared" si="1"/>
        <v>143500</v>
      </c>
      <c r="E34" s="199">
        <f>'Proposed Tentative'!J20</f>
        <v>490460</v>
      </c>
    </row>
    <row r="35" spans="1:5" ht="21" x14ac:dyDescent="0.35">
      <c r="A35" s="146"/>
      <c r="B35" s="202" t="s">
        <v>297</v>
      </c>
      <c r="C35" s="201">
        <f>SUM(C28:C34)</f>
        <v>1026825</v>
      </c>
      <c r="D35" s="201">
        <f t="shared" si="1"/>
        <v>492910.95999999996</v>
      </c>
      <c r="E35" s="201">
        <f>SUM(E28:E34)</f>
        <v>1519735.96</v>
      </c>
    </row>
    <row r="36" spans="1:5" ht="21" x14ac:dyDescent="0.35">
      <c r="A36" s="146"/>
      <c r="B36" s="202"/>
      <c r="C36" s="201"/>
      <c r="D36" s="201"/>
      <c r="E36" s="201"/>
    </row>
    <row r="37" spans="1:5" x14ac:dyDescent="0.25">
      <c r="A37" s="146"/>
      <c r="B37" s="146"/>
      <c r="C37" s="154"/>
      <c r="D37" s="154"/>
      <c r="E37" s="154"/>
    </row>
    <row r="38" spans="1:5" ht="63" x14ac:dyDescent="0.25">
      <c r="A38" s="146"/>
      <c r="B38" s="146"/>
      <c r="C38" s="208" t="s">
        <v>308</v>
      </c>
      <c r="D38" s="204" t="s">
        <v>301</v>
      </c>
      <c r="E38" s="208" t="s">
        <v>307</v>
      </c>
    </row>
    <row r="39" spans="1:5" x14ac:dyDescent="0.25">
      <c r="A39" t="s">
        <v>296</v>
      </c>
      <c r="B39" s="140" t="s">
        <v>220</v>
      </c>
      <c r="C39" s="199">
        <v>1200000</v>
      </c>
      <c r="D39" s="199">
        <f>E39-C39</f>
        <v>-699616</v>
      </c>
      <c r="E39" s="199">
        <f>'Proposed Tentative'!J33</f>
        <v>500384</v>
      </c>
    </row>
    <row r="40" spans="1:5" x14ac:dyDescent="0.25">
      <c r="B40" s="140" t="s">
        <v>13</v>
      </c>
      <c r="C40" s="199">
        <v>5912069</v>
      </c>
      <c r="D40" s="199">
        <f>E40-C40</f>
        <v>-1321891.5999999996</v>
      </c>
      <c r="E40" s="199">
        <f>'Proposed Tentative'!J47</f>
        <v>4590177.4000000004</v>
      </c>
    </row>
    <row r="41" spans="1:5" x14ac:dyDescent="0.25">
      <c r="B41" s="140" t="s">
        <v>15</v>
      </c>
      <c r="C41" s="199">
        <v>6074487</v>
      </c>
      <c r="D41" s="199">
        <f>E41-C41</f>
        <v>-5180534.97</v>
      </c>
      <c r="E41" s="199">
        <f>'Proposed Tentative'!J55</f>
        <v>893952.03</v>
      </c>
    </row>
    <row r="42" spans="1:5" x14ac:dyDescent="0.25">
      <c r="B42" s="140" t="s">
        <v>19</v>
      </c>
      <c r="C42" s="199">
        <f>24837383-15000000</f>
        <v>9837383</v>
      </c>
      <c r="D42" s="199">
        <f>E42-C42</f>
        <v>689544.5820000004</v>
      </c>
      <c r="E42" s="199">
        <f>'Proposed Tentative'!J68</f>
        <v>10526927.582</v>
      </c>
    </row>
    <row r="43" spans="1:5" x14ac:dyDescent="0.25">
      <c r="B43" s="140" t="s">
        <v>304</v>
      </c>
      <c r="C43" s="199">
        <v>3059342</v>
      </c>
      <c r="D43" s="212" t="s">
        <v>311</v>
      </c>
      <c r="E43" s="210" t="s">
        <v>303</v>
      </c>
    </row>
    <row r="44" spans="1:5" x14ac:dyDescent="0.25">
      <c r="B44" s="140" t="s">
        <v>14</v>
      </c>
      <c r="C44" s="199">
        <v>2722451</v>
      </c>
      <c r="D44" s="199">
        <f>E44-C44</f>
        <v>8951402.8000000007</v>
      </c>
      <c r="E44" s="199">
        <f>'Proposed Tentative'!J84</f>
        <v>11673853.800000001</v>
      </c>
    </row>
    <row r="45" spans="1:5" x14ac:dyDescent="0.25">
      <c r="B45" s="140" t="s">
        <v>21</v>
      </c>
      <c r="C45" s="199">
        <v>2008830</v>
      </c>
      <c r="D45" s="199">
        <f>E45-C45</f>
        <v>-1769275</v>
      </c>
      <c r="E45" s="199">
        <f>'Proposed Tentative'!J95</f>
        <v>239555</v>
      </c>
    </row>
    <row r="46" spans="1:5" x14ac:dyDescent="0.25">
      <c r="B46" s="140" t="s">
        <v>22</v>
      </c>
      <c r="C46" s="199">
        <v>1200000</v>
      </c>
      <c r="D46" s="199">
        <f>E46-C46</f>
        <v>250069</v>
      </c>
      <c r="E46" s="199">
        <f>'Proposed Tentative'!J105</f>
        <v>1450069</v>
      </c>
    </row>
    <row r="47" spans="1:5" x14ac:dyDescent="0.25">
      <c r="B47" s="140" t="s">
        <v>27</v>
      </c>
      <c r="C47" s="199">
        <v>900000</v>
      </c>
      <c r="D47" s="199">
        <f>E47-C47</f>
        <v>56400</v>
      </c>
      <c r="E47" s="199">
        <f>'Proposed Tentative'!J113</f>
        <v>956400</v>
      </c>
    </row>
    <row r="48" spans="1:5" x14ac:dyDescent="0.25">
      <c r="B48" s="140" t="s">
        <v>28</v>
      </c>
      <c r="C48" s="199">
        <v>600000</v>
      </c>
      <c r="D48" s="199">
        <f>E48-C48</f>
        <v>-60000</v>
      </c>
      <c r="E48" s="199">
        <f>'Proposed Tentative'!J120</f>
        <v>540000</v>
      </c>
    </row>
    <row r="49" spans="1:5" ht="21" x14ac:dyDescent="0.35">
      <c r="A49" s="146"/>
      <c r="B49" s="202" t="s">
        <v>298</v>
      </c>
      <c r="C49" s="29">
        <f>SUM(C39:C48)</f>
        <v>33514562</v>
      </c>
      <c r="D49" s="29">
        <f>SUM(D39:D48)</f>
        <v>916098.81200000178</v>
      </c>
      <c r="E49" s="29">
        <f>SUM(E39:E48)</f>
        <v>31371318.812000003</v>
      </c>
    </row>
    <row r="50" spans="1:5" ht="21" x14ac:dyDescent="0.35">
      <c r="D50" s="29"/>
    </row>
    <row r="52" spans="1:5" ht="21" x14ac:dyDescent="0.35">
      <c r="B52" s="200" t="s">
        <v>314</v>
      </c>
      <c r="C52" s="29">
        <f>C49+C35</f>
        <v>34541387</v>
      </c>
      <c r="D52" s="29">
        <f>D49+D35</f>
        <v>1409009.7720000017</v>
      </c>
      <c r="E52" s="29">
        <f>E49+E35</f>
        <v>32891054.772000004</v>
      </c>
    </row>
    <row r="53" spans="1:5" ht="21" x14ac:dyDescent="0.35">
      <c r="A53" s="200"/>
      <c r="C53" s="29"/>
      <c r="D53" s="29"/>
      <c r="E53" s="29"/>
    </row>
    <row r="54" spans="1:5" ht="21" x14ac:dyDescent="0.35">
      <c r="B54" s="213" t="s">
        <v>313</v>
      </c>
      <c r="C54" s="29">
        <f>C22-C52</f>
        <v>16613</v>
      </c>
      <c r="E54" s="29">
        <f>E22-E52</f>
        <v>38232.227999996394</v>
      </c>
    </row>
  </sheetData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54"/>
  <sheetViews>
    <sheetView topLeftCell="H135" zoomScale="110" zoomScaleNormal="110" workbookViewId="0">
      <selection activeCell="S152" sqref="S152"/>
    </sheetView>
  </sheetViews>
  <sheetFormatPr defaultRowHeight="15" x14ac:dyDescent="0.25"/>
  <cols>
    <col min="1" max="1" width="43.5703125" customWidth="1"/>
    <col min="2" max="2" width="17.7109375" customWidth="1"/>
    <col min="3" max="4" width="18.140625" customWidth="1"/>
    <col min="5" max="5" width="20.85546875" customWidth="1"/>
    <col min="6" max="6" width="21.28515625" customWidth="1"/>
    <col min="7" max="7" width="30.85546875" customWidth="1"/>
    <col min="8" max="9" width="20.7109375" customWidth="1"/>
    <col min="10" max="10" width="15.5703125" bestFit="1" customWidth="1"/>
    <col min="11" max="11" width="15.5703125" customWidth="1"/>
    <col min="18" max="18" width="10.28515625" bestFit="1" customWidth="1"/>
  </cols>
  <sheetData>
    <row r="1" spans="1:24" ht="64.5" x14ac:dyDescent="0.45">
      <c r="A1" s="28" t="s">
        <v>282</v>
      </c>
      <c r="H1" s="186" t="s">
        <v>222</v>
      </c>
      <c r="I1" s="187" t="s">
        <v>197</v>
      </c>
      <c r="J1" s="190" t="s">
        <v>223</v>
      </c>
      <c r="K1" s="190"/>
      <c r="L1" s="188" t="s">
        <v>224</v>
      </c>
      <c r="M1" t="s">
        <v>231</v>
      </c>
      <c r="R1" t="s">
        <v>288</v>
      </c>
    </row>
    <row r="2" spans="1:24" ht="21.75" customHeight="1" x14ac:dyDescent="0.35">
      <c r="A2" s="3" t="s">
        <v>29</v>
      </c>
      <c r="J2" s="80"/>
      <c r="K2" s="80"/>
      <c r="L2" s="31"/>
      <c r="R2" t="s">
        <v>293</v>
      </c>
    </row>
    <row r="3" spans="1:24" ht="21.75" customHeight="1" x14ac:dyDescent="0.35">
      <c r="A3" s="3"/>
      <c r="J3" s="80"/>
      <c r="K3" s="80"/>
      <c r="L3" s="31"/>
      <c r="R3" t="s">
        <v>294</v>
      </c>
    </row>
    <row r="4" spans="1:24" x14ac:dyDescent="0.25">
      <c r="A4" s="140" t="s">
        <v>215</v>
      </c>
      <c r="B4" s="141"/>
      <c r="C4" s="141"/>
      <c r="D4" s="142"/>
      <c r="E4" s="144"/>
      <c r="F4" s="143"/>
      <c r="G4" s="172"/>
      <c r="H4" s="172"/>
      <c r="I4" s="189"/>
      <c r="J4" s="153"/>
      <c r="K4" s="153"/>
      <c r="L4" s="153"/>
    </row>
    <row r="5" spans="1:24" x14ac:dyDescent="0.25">
      <c r="B5" s="5"/>
      <c r="C5" s="5" t="s">
        <v>2</v>
      </c>
      <c r="D5" s="5"/>
      <c r="E5" s="5"/>
      <c r="F5" s="5" t="s">
        <v>225</v>
      </c>
      <c r="G5" s="5"/>
      <c r="H5" s="168"/>
      <c r="I5" s="17"/>
      <c r="R5" s="198">
        <v>2017</v>
      </c>
    </row>
    <row r="6" spans="1:24" ht="15.75" thickBot="1" x14ac:dyDescent="0.3">
      <c r="B6" s="5" t="s">
        <v>1</v>
      </c>
      <c r="C6" s="5" t="s">
        <v>7</v>
      </c>
      <c r="D6" s="5" t="s">
        <v>3</v>
      </c>
      <c r="E6" s="5" t="s">
        <v>4</v>
      </c>
      <c r="F6" s="5" t="s">
        <v>6</v>
      </c>
      <c r="G6" s="5" t="s">
        <v>10</v>
      </c>
      <c r="H6" s="169"/>
      <c r="I6" s="17"/>
      <c r="R6" s="198" t="s">
        <v>285</v>
      </c>
    </row>
    <row r="7" spans="1:24" x14ac:dyDescent="0.25">
      <c r="A7" s="155" t="s">
        <v>189</v>
      </c>
      <c r="B7" s="159">
        <v>99048</v>
      </c>
      <c r="C7" s="159">
        <v>89786</v>
      </c>
      <c r="D7" s="159">
        <v>149449</v>
      </c>
      <c r="E7" s="159">
        <v>189150</v>
      </c>
      <c r="F7" s="159">
        <v>119599</v>
      </c>
      <c r="G7" s="159">
        <v>32833</v>
      </c>
      <c r="H7" s="167"/>
      <c r="I7" s="178"/>
      <c r="R7" s="6">
        <f>SUM(B7:G7)</f>
        <v>679865</v>
      </c>
    </row>
    <row r="8" spans="1:24" x14ac:dyDescent="0.25">
      <c r="A8" s="156" t="s">
        <v>87</v>
      </c>
      <c r="B8" s="139">
        <v>0.03</v>
      </c>
      <c r="C8" s="139">
        <v>0.03</v>
      </c>
      <c r="D8" s="139">
        <v>0.03</v>
      </c>
      <c r="E8" s="139">
        <v>0.03</v>
      </c>
      <c r="F8" s="139">
        <v>0.03</v>
      </c>
      <c r="G8" s="139">
        <v>0</v>
      </c>
      <c r="H8" s="128"/>
      <c r="I8" s="178"/>
      <c r="R8" s="198">
        <v>2018</v>
      </c>
    </row>
    <row r="9" spans="1:24" ht="16.5" thickBot="1" x14ac:dyDescent="0.3">
      <c r="A9" s="157" t="s">
        <v>190</v>
      </c>
      <c r="B9" s="158">
        <f>B7*1.03</f>
        <v>102019.44</v>
      </c>
      <c r="C9" s="158">
        <f>C7*1.03</f>
        <v>92479.58</v>
      </c>
      <c r="D9" s="158">
        <f>D7*1.03</f>
        <v>153932.47</v>
      </c>
      <c r="E9" s="158">
        <f>E7*1.03</f>
        <v>194824.5</v>
      </c>
      <c r="F9" s="158">
        <f>F7*1.03</f>
        <v>123186.97</v>
      </c>
      <c r="G9" s="158">
        <f>G7</f>
        <v>32833</v>
      </c>
      <c r="H9" s="128">
        <f>SUM(B9:G9)</f>
        <v>699275.96</v>
      </c>
      <c r="I9" s="178"/>
      <c r="R9" s="198" t="s">
        <v>286</v>
      </c>
    </row>
    <row r="10" spans="1:24" ht="15.75" x14ac:dyDescent="0.25">
      <c r="A10" s="171" t="s">
        <v>191</v>
      </c>
      <c r="B10" s="170">
        <v>66000</v>
      </c>
      <c r="C10" s="170">
        <v>66000</v>
      </c>
      <c r="D10" s="170">
        <v>66000</v>
      </c>
      <c r="E10" s="170">
        <v>66000</v>
      </c>
      <c r="F10" s="170">
        <v>66000</v>
      </c>
      <c r="G10" s="170"/>
      <c r="H10" s="176"/>
      <c r="I10" s="181">
        <f>SUM(B10:G10)</f>
        <v>330000</v>
      </c>
      <c r="J10" s="1">
        <f>SUM(H9:I10)</f>
        <v>1029275.96</v>
      </c>
      <c r="K10" s="1"/>
      <c r="M10" t="s">
        <v>232</v>
      </c>
      <c r="R10" s="6">
        <f>J10+J20</f>
        <v>1519735.96</v>
      </c>
    </row>
    <row r="11" spans="1:24" ht="15.75" x14ac:dyDescent="0.25">
      <c r="A11" s="146"/>
      <c r="B11" s="170"/>
      <c r="C11" s="170"/>
      <c r="D11" s="170"/>
      <c r="E11" s="170"/>
      <c r="F11" s="170"/>
      <c r="G11" s="170"/>
      <c r="H11" s="128"/>
      <c r="I11" s="178"/>
      <c r="M11" t="s">
        <v>233</v>
      </c>
      <c r="R11" s="6">
        <f>R10-R7</f>
        <v>839870.96</v>
      </c>
      <c r="S11" t="s">
        <v>287</v>
      </c>
    </row>
    <row r="12" spans="1:24" ht="15.75" x14ac:dyDescent="0.25">
      <c r="A12" s="146"/>
      <c r="B12" s="170"/>
      <c r="C12" s="170"/>
      <c r="D12" s="170"/>
      <c r="E12" s="170"/>
      <c r="F12" s="170"/>
      <c r="G12" s="170"/>
      <c r="H12" s="128"/>
      <c r="I12" s="178"/>
      <c r="R12" s="189">
        <f>'Public Hearing'!D35</f>
        <v>492910.95999999996</v>
      </c>
      <c r="S12" s="18" t="s">
        <v>289</v>
      </c>
    </row>
    <row r="13" spans="1:24" ht="15.75" thickBot="1" x14ac:dyDescent="0.3">
      <c r="A13" s="140" t="s">
        <v>216</v>
      </c>
      <c r="H13" s="128"/>
      <c r="I13" s="178"/>
      <c r="R13" s="1">
        <f>J20-H15</f>
        <v>138250</v>
      </c>
      <c r="S13" t="s">
        <v>290</v>
      </c>
    </row>
    <row r="14" spans="1:24" x14ac:dyDescent="0.25">
      <c r="A14" s="155" t="s">
        <v>217</v>
      </c>
      <c r="B14" s="160"/>
      <c r="C14" s="160"/>
      <c r="D14" s="160"/>
      <c r="E14" s="160"/>
      <c r="F14" s="161"/>
      <c r="G14" s="159">
        <v>346960</v>
      </c>
      <c r="H14" s="128"/>
      <c r="I14" s="178"/>
      <c r="R14" s="1">
        <f>SUM(I16:I20)</f>
        <v>138250</v>
      </c>
      <c r="S14" t="s">
        <v>291</v>
      </c>
    </row>
    <row r="15" spans="1:24" ht="15.75" thickBot="1" x14ac:dyDescent="0.3">
      <c r="A15" s="157" t="s">
        <v>9</v>
      </c>
      <c r="B15" s="162"/>
      <c r="C15" s="162"/>
      <c r="D15" s="162"/>
      <c r="E15" s="164"/>
      <c r="F15" s="163"/>
      <c r="G15" s="164">
        <f>175000*0.03</f>
        <v>5250</v>
      </c>
      <c r="H15" s="128">
        <f>SUM(G14:G15)</f>
        <v>352210</v>
      </c>
      <c r="I15" s="178"/>
      <c r="M15" t="s">
        <v>234</v>
      </c>
      <c r="R15" s="189">
        <f>R13-R14</f>
        <v>0</v>
      </c>
      <c r="S15" s="18" t="s">
        <v>292</v>
      </c>
      <c r="T15" s="18"/>
      <c r="U15" s="18"/>
      <c r="V15" s="18"/>
      <c r="W15" s="18"/>
      <c r="X15" s="18"/>
    </row>
    <row r="16" spans="1:24" x14ac:dyDescent="0.25">
      <c r="A16" s="171" t="s">
        <v>218</v>
      </c>
      <c r="B16" s="146"/>
      <c r="C16" s="146"/>
      <c r="D16" s="146"/>
      <c r="E16" s="154"/>
      <c r="F16" s="151"/>
      <c r="G16" s="154"/>
      <c r="H16" s="128"/>
      <c r="I16" s="181">
        <v>5000</v>
      </c>
      <c r="M16" t="s">
        <v>235</v>
      </c>
    </row>
    <row r="17" spans="1:13" x14ac:dyDescent="0.25">
      <c r="A17" s="171" t="s">
        <v>219</v>
      </c>
      <c r="B17" s="146"/>
      <c r="C17" s="146"/>
      <c r="D17" s="146"/>
      <c r="E17" s="154"/>
      <c r="F17" s="151"/>
      <c r="G17" s="154"/>
      <c r="H17" s="128"/>
      <c r="I17" s="181">
        <v>60750</v>
      </c>
      <c r="M17" t="s">
        <v>236</v>
      </c>
    </row>
    <row r="18" spans="1:13" x14ac:dyDescent="0.25">
      <c r="A18" s="171" t="s">
        <v>192</v>
      </c>
      <c r="B18" s="146"/>
      <c r="C18" s="146"/>
      <c r="D18" s="146"/>
      <c r="E18" s="154"/>
      <c r="F18" s="151"/>
      <c r="G18" s="154"/>
      <c r="H18" s="128"/>
      <c r="I18" s="181">
        <v>11000</v>
      </c>
      <c r="M18" t="s">
        <v>237</v>
      </c>
    </row>
    <row r="19" spans="1:13" x14ac:dyDescent="0.25">
      <c r="A19" s="171" t="s">
        <v>193</v>
      </c>
      <c r="B19" s="146"/>
      <c r="C19" s="146"/>
      <c r="D19" s="146"/>
      <c r="E19" s="154"/>
      <c r="F19" s="151"/>
      <c r="G19" s="154"/>
      <c r="H19" s="128"/>
      <c r="I19" s="181">
        <v>55000</v>
      </c>
      <c r="M19" t="s">
        <v>259</v>
      </c>
    </row>
    <row r="20" spans="1:13" x14ac:dyDescent="0.25">
      <c r="A20" s="171" t="s">
        <v>194</v>
      </c>
      <c r="B20" s="146"/>
      <c r="C20" s="146"/>
      <c r="D20" s="146"/>
      <c r="E20" s="154"/>
      <c r="F20" s="151"/>
      <c r="G20" s="154"/>
      <c r="H20" s="128"/>
      <c r="I20" s="181">
        <f>3000+3500</f>
        <v>6500</v>
      </c>
      <c r="J20" s="1">
        <f>SUM(H15:I20)</f>
        <v>490460</v>
      </c>
      <c r="K20" s="1"/>
      <c r="M20" t="s">
        <v>238</v>
      </c>
    </row>
    <row r="21" spans="1:13" x14ac:dyDescent="0.25">
      <c r="F21" s="23"/>
      <c r="H21" s="128"/>
      <c r="I21" s="181"/>
    </row>
    <row r="22" spans="1:13" ht="18.75" x14ac:dyDescent="0.3">
      <c r="A22" s="185" t="s">
        <v>221</v>
      </c>
      <c r="F22" s="23"/>
      <c r="H22" s="128"/>
      <c r="I22" s="181"/>
    </row>
    <row r="23" spans="1:13" ht="15.75" x14ac:dyDescent="0.25">
      <c r="A23" s="145"/>
      <c r="F23" s="23"/>
      <c r="H23" s="128"/>
      <c r="I23" s="181"/>
    </row>
    <row r="24" spans="1:13" x14ac:dyDescent="0.25">
      <c r="A24" s="140" t="s">
        <v>220</v>
      </c>
      <c r="B24" s="146"/>
      <c r="C24" s="146"/>
      <c r="D24" s="147" t="s">
        <v>212</v>
      </c>
      <c r="E24" s="147"/>
      <c r="F24" s="148"/>
      <c r="G24" s="149" t="s">
        <v>213</v>
      </c>
      <c r="H24" s="128"/>
      <c r="I24" s="178"/>
    </row>
    <row r="25" spans="1:13" x14ac:dyDescent="0.25">
      <c r="B25" s="141"/>
      <c r="C25" s="141"/>
      <c r="D25" s="142" t="s">
        <v>53</v>
      </c>
      <c r="E25" s="142"/>
      <c r="F25" s="143"/>
      <c r="G25" s="172">
        <f>SUM(E26:E28)</f>
        <v>665775</v>
      </c>
      <c r="H25" s="128"/>
      <c r="I25" s="182"/>
      <c r="J25" s="17"/>
      <c r="K25" s="17"/>
    </row>
    <row r="26" spans="1:13" x14ac:dyDescent="0.25">
      <c r="A26" s="141"/>
      <c r="B26" s="141"/>
      <c r="C26" s="141" t="s">
        <v>260</v>
      </c>
      <c r="D26" s="142" t="s">
        <v>50</v>
      </c>
      <c r="E26" s="144">
        <f>598800-323800</f>
        <v>275000</v>
      </c>
      <c r="F26" s="143"/>
      <c r="G26" s="172">
        <f>E26*F26</f>
        <v>0</v>
      </c>
      <c r="H26" s="128"/>
      <c r="I26" s="178"/>
    </row>
    <row r="27" spans="1:13" x14ac:dyDescent="0.25">
      <c r="A27" s="141"/>
      <c r="B27" s="141"/>
      <c r="C27" s="141"/>
      <c r="D27" s="142" t="s">
        <v>51</v>
      </c>
      <c r="E27" s="144">
        <f>111540-40000</f>
        <v>71540</v>
      </c>
      <c r="F27" s="143"/>
      <c r="G27" s="172"/>
      <c r="H27" s="128"/>
      <c r="I27" s="178"/>
    </row>
    <row r="28" spans="1:13" x14ac:dyDescent="0.25">
      <c r="A28" s="141"/>
      <c r="B28" s="141"/>
      <c r="C28" s="141"/>
      <c r="D28" s="142" t="s">
        <v>55</v>
      </c>
      <c r="E28" s="144">
        <v>319235</v>
      </c>
      <c r="F28" s="143"/>
      <c r="G28" s="172"/>
      <c r="H28" s="128"/>
      <c r="I28" s="178"/>
    </row>
    <row r="29" spans="1:13" x14ac:dyDescent="0.25">
      <c r="A29" s="142"/>
      <c r="B29" s="141"/>
      <c r="C29" s="141"/>
      <c r="D29" s="142" t="s">
        <v>181</v>
      </c>
      <c r="E29" s="141"/>
      <c r="F29" s="143"/>
      <c r="G29" s="173">
        <v>-51815</v>
      </c>
      <c r="H29" s="133"/>
      <c r="I29" s="178"/>
    </row>
    <row r="30" spans="1:13" x14ac:dyDescent="0.25">
      <c r="A30" s="150"/>
      <c r="B30" s="150" t="s">
        <v>195</v>
      </c>
      <c r="C30" s="146"/>
      <c r="D30" s="150"/>
      <c r="E30" s="146"/>
      <c r="F30" s="151"/>
      <c r="G30" s="174"/>
      <c r="H30" s="133"/>
      <c r="I30" s="178"/>
      <c r="M30" t="s">
        <v>261</v>
      </c>
    </row>
    <row r="31" spans="1:13" x14ac:dyDescent="0.25">
      <c r="A31" s="150"/>
      <c r="B31" s="150" t="s">
        <v>203</v>
      </c>
      <c r="C31" s="146"/>
      <c r="D31" s="150"/>
      <c r="E31" s="146"/>
      <c r="F31" s="151"/>
      <c r="G31" s="174"/>
      <c r="H31" s="133"/>
      <c r="I31" s="178">
        <v>-132558</v>
      </c>
      <c r="M31" t="s">
        <v>239</v>
      </c>
    </row>
    <row r="32" spans="1:13" x14ac:dyDescent="0.25">
      <c r="A32" s="150"/>
      <c r="B32" s="150" t="s">
        <v>196</v>
      </c>
      <c r="C32" s="146"/>
      <c r="D32" s="150"/>
      <c r="E32" s="146"/>
      <c r="F32" s="151"/>
      <c r="G32" s="174"/>
      <c r="H32" s="133"/>
      <c r="I32" s="178">
        <v>18982</v>
      </c>
      <c r="L32" s="46">
        <v>1</v>
      </c>
      <c r="M32" t="s">
        <v>243</v>
      </c>
    </row>
    <row r="33" spans="1:13" ht="13.5" customHeight="1" x14ac:dyDescent="0.25">
      <c r="A33" s="146"/>
      <c r="B33" s="146"/>
      <c r="C33" s="146"/>
      <c r="D33" s="150"/>
      <c r="E33" s="152"/>
      <c r="F33" s="151"/>
      <c r="G33" s="153" t="s">
        <v>214</v>
      </c>
      <c r="H33" s="128">
        <f>SUM(G25:G29)</f>
        <v>613960</v>
      </c>
      <c r="I33" s="178"/>
      <c r="J33" s="1">
        <f>SUM(H30:I33)</f>
        <v>500384</v>
      </c>
      <c r="K33" s="1"/>
      <c r="M33" t="s">
        <v>244</v>
      </c>
    </row>
    <row r="34" spans="1:13" x14ac:dyDescent="0.25">
      <c r="A34" s="146"/>
      <c r="B34" s="146"/>
      <c r="C34" s="146"/>
      <c r="D34" s="150"/>
      <c r="E34" s="152"/>
      <c r="F34" s="151"/>
      <c r="G34" s="153"/>
      <c r="H34" s="128"/>
      <c r="I34" s="178"/>
    </row>
    <row r="35" spans="1:13" x14ac:dyDescent="0.25">
      <c r="A35" s="140" t="s">
        <v>13</v>
      </c>
      <c r="B35" s="141"/>
      <c r="C35" s="141"/>
      <c r="D35" s="142" t="s">
        <v>53</v>
      </c>
      <c r="E35" s="144"/>
      <c r="F35" s="143"/>
      <c r="G35" s="172">
        <f>SUM(E36:E40)</f>
        <v>4270555.4000000004</v>
      </c>
      <c r="H35" s="128"/>
      <c r="I35" s="178"/>
    </row>
    <row r="36" spans="1:13" x14ac:dyDescent="0.25">
      <c r="A36" s="141"/>
      <c r="B36" s="141"/>
      <c r="C36" s="141"/>
      <c r="D36" s="142" t="s">
        <v>50</v>
      </c>
      <c r="E36" s="144">
        <f>3985019*0.6</f>
        <v>2391011.4</v>
      </c>
      <c r="F36" s="143"/>
      <c r="G36" s="172">
        <f>E36*F36</f>
        <v>0</v>
      </c>
      <c r="H36" s="128"/>
      <c r="I36" s="178"/>
    </row>
    <row r="37" spans="1:13" x14ac:dyDescent="0.25">
      <c r="A37" s="141"/>
      <c r="B37" s="141"/>
      <c r="C37" s="141"/>
      <c r="D37" s="142" t="s">
        <v>51</v>
      </c>
      <c r="E37" s="144">
        <f>899240*0.6</f>
        <v>539544</v>
      </c>
      <c r="F37" s="143"/>
      <c r="G37" s="175"/>
      <c r="H37" s="128"/>
      <c r="I37" s="178"/>
    </row>
    <row r="38" spans="1:13" x14ac:dyDescent="0.25">
      <c r="A38" s="141"/>
      <c r="B38" s="141"/>
      <c r="C38" s="141"/>
      <c r="D38" s="142" t="s">
        <v>52</v>
      </c>
      <c r="E38" s="144">
        <v>90000</v>
      </c>
      <c r="F38" s="143"/>
      <c r="G38" s="175"/>
      <c r="H38" s="128"/>
      <c r="I38" s="178"/>
    </row>
    <row r="39" spans="1:13" x14ac:dyDescent="0.25">
      <c r="A39" s="141"/>
      <c r="B39" s="141"/>
      <c r="C39" s="141"/>
      <c r="D39" s="142" t="s">
        <v>55</v>
      </c>
      <c r="E39" s="144">
        <v>980000</v>
      </c>
      <c r="F39" s="143"/>
      <c r="G39" s="175"/>
      <c r="H39" s="128"/>
      <c r="I39" s="178"/>
    </row>
    <row r="40" spans="1:13" x14ac:dyDescent="0.25">
      <c r="A40" s="141"/>
      <c r="B40" s="141"/>
      <c r="C40" s="141"/>
      <c r="D40" s="142" t="s">
        <v>70</v>
      </c>
      <c r="E40" s="144">
        <v>270000</v>
      </c>
      <c r="F40" s="143"/>
      <c r="G40" s="189"/>
      <c r="H40" s="196"/>
      <c r="I40" s="178"/>
    </row>
    <row r="41" spans="1:13" x14ac:dyDescent="0.25">
      <c r="A41" s="142"/>
      <c r="B41" s="141"/>
      <c r="C41" s="141"/>
      <c r="D41" s="142" t="s">
        <v>181</v>
      </c>
      <c r="E41" s="144"/>
      <c r="F41" s="143"/>
      <c r="G41" s="189">
        <v>-290669</v>
      </c>
      <c r="H41" s="197"/>
      <c r="I41" s="178"/>
      <c r="M41" t="s">
        <v>246</v>
      </c>
    </row>
    <row r="42" spans="1:13" x14ac:dyDescent="0.25">
      <c r="A42" s="150"/>
      <c r="B42" s="150" t="s">
        <v>195</v>
      </c>
      <c r="C42" s="146"/>
      <c r="D42" s="150"/>
      <c r="E42" s="152"/>
      <c r="F42" s="151"/>
      <c r="G42" s="153"/>
      <c r="H42" s="133"/>
      <c r="I42" s="178"/>
      <c r="M42" t="s">
        <v>247</v>
      </c>
    </row>
    <row r="43" spans="1:13" x14ac:dyDescent="0.25">
      <c r="A43" s="150"/>
      <c r="B43" s="150" t="s">
        <v>264</v>
      </c>
      <c r="C43" s="146"/>
      <c r="D43" s="150"/>
      <c r="E43" s="152"/>
      <c r="F43" s="151"/>
      <c r="G43" s="153"/>
      <c r="H43" s="133"/>
      <c r="I43" s="178">
        <v>323090</v>
      </c>
      <c r="M43" t="s">
        <v>240</v>
      </c>
    </row>
    <row r="44" spans="1:13" x14ac:dyDescent="0.25">
      <c r="A44" s="150"/>
      <c r="B44" s="150" t="s">
        <v>203</v>
      </c>
      <c r="C44" s="146"/>
      <c r="D44" s="150"/>
      <c r="E44" s="152"/>
      <c r="F44" s="151"/>
      <c r="G44" s="153"/>
      <c r="H44" s="133"/>
      <c r="I44" s="178">
        <v>-407152</v>
      </c>
      <c r="M44" t="s">
        <v>239</v>
      </c>
    </row>
    <row r="45" spans="1:13" x14ac:dyDescent="0.25">
      <c r="A45" s="150"/>
      <c r="B45" s="150" t="s">
        <v>204</v>
      </c>
      <c r="C45" s="146"/>
      <c r="D45" s="150"/>
      <c r="E45" s="152"/>
      <c r="F45" s="151"/>
      <c r="G45" s="153"/>
      <c r="H45" s="133"/>
      <c r="I45" s="178">
        <v>564949</v>
      </c>
      <c r="M45" t="s">
        <v>263</v>
      </c>
    </row>
    <row r="46" spans="1:13" x14ac:dyDescent="0.25">
      <c r="A46" s="150"/>
      <c r="B46" s="150" t="s">
        <v>196</v>
      </c>
      <c r="C46" s="146"/>
      <c r="D46" s="150"/>
      <c r="E46" s="152"/>
      <c r="F46" s="151"/>
      <c r="G46" s="153"/>
      <c r="H46" s="133"/>
      <c r="I46" s="178">
        <v>129404</v>
      </c>
      <c r="L46" s="46">
        <v>1</v>
      </c>
      <c r="M46" t="s">
        <v>262</v>
      </c>
    </row>
    <row r="47" spans="1:13" x14ac:dyDescent="0.25">
      <c r="A47" s="146"/>
      <c r="B47" s="146"/>
      <c r="C47" s="146"/>
      <c r="D47" s="150"/>
      <c r="E47" s="152"/>
      <c r="F47" s="151"/>
      <c r="G47" s="153" t="s">
        <v>214</v>
      </c>
      <c r="H47" s="128">
        <f>SUM(G35:G41)</f>
        <v>3979886.4000000004</v>
      </c>
      <c r="I47" s="178"/>
      <c r="J47" s="1">
        <f>SUM(H42:I47)</f>
        <v>4590177.4000000004</v>
      </c>
      <c r="K47" s="1"/>
      <c r="M47" t="s">
        <v>244</v>
      </c>
    </row>
    <row r="48" spans="1:13" x14ac:dyDescent="0.25">
      <c r="A48" s="146"/>
      <c r="B48" s="146"/>
      <c r="C48" s="146"/>
      <c r="D48" s="150"/>
      <c r="E48" s="152"/>
      <c r="F48" s="151"/>
      <c r="G48" s="153"/>
      <c r="H48" s="128"/>
      <c r="I48" s="178"/>
    </row>
    <row r="49" spans="1:13" x14ac:dyDescent="0.25">
      <c r="A49" s="140" t="s">
        <v>15</v>
      </c>
      <c r="B49" s="141"/>
      <c r="C49" s="141"/>
      <c r="D49" s="142"/>
      <c r="E49" s="144"/>
      <c r="F49" s="143"/>
      <c r="G49" s="172">
        <v>790863</v>
      </c>
      <c r="H49" s="128"/>
      <c r="I49" s="178"/>
    </row>
    <row r="50" spans="1:13" x14ac:dyDescent="0.25">
      <c r="A50" s="142"/>
      <c r="B50" s="141"/>
      <c r="C50" s="141"/>
      <c r="D50" s="142"/>
      <c r="E50" s="144"/>
      <c r="F50" s="143"/>
      <c r="G50" s="172">
        <v>-53828.97</v>
      </c>
      <c r="H50" s="133"/>
      <c r="I50" s="178"/>
    </row>
    <row r="51" spans="1:13" x14ac:dyDescent="0.25">
      <c r="A51" s="150"/>
      <c r="B51" s="150" t="s">
        <v>195</v>
      </c>
      <c r="C51" s="146"/>
      <c r="D51" s="150"/>
      <c r="E51" s="152"/>
      <c r="F51" s="151"/>
      <c r="G51" s="153"/>
      <c r="H51" s="133"/>
      <c r="I51" s="178"/>
      <c r="M51" t="s">
        <v>245</v>
      </c>
    </row>
    <row r="52" spans="1:13" x14ac:dyDescent="0.25">
      <c r="A52" s="150"/>
      <c r="B52" s="150" t="s">
        <v>264</v>
      </c>
      <c r="C52" s="146"/>
      <c r="D52" s="150"/>
      <c r="E52" s="152"/>
      <c r="F52" s="151"/>
      <c r="G52" s="153"/>
      <c r="H52" s="133"/>
      <c r="I52" s="178">
        <v>53829</v>
      </c>
      <c r="M52" t="s">
        <v>240</v>
      </c>
    </row>
    <row r="53" spans="1:13" x14ac:dyDescent="0.25">
      <c r="A53" s="150"/>
      <c r="B53" s="150" t="s">
        <v>205</v>
      </c>
      <c r="C53" s="146"/>
      <c r="D53" s="150"/>
      <c r="E53" s="152"/>
      <c r="F53" s="151"/>
      <c r="G53" s="153"/>
      <c r="H53" s="133"/>
      <c r="I53" s="178">
        <v>82000</v>
      </c>
      <c r="M53" t="s">
        <v>241</v>
      </c>
    </row>
    <row r="54" spans="1:13" x14ac:dyDescent="0.25">
      <c r="A54" s="150"/>
      <c r="B54" s="150" t="s">
        <v>196</v>
      </c>
      <c r="C54" s="146"/>
      <c r="D54" s="150"/>
      <c r="E54" s="152"/>
      <c r="F54" s="151"/>
      <c r="G54" s="153"/>
      <c r="H54" s="133"/>
      <c r="I54" s="178">
        <v>21089</v>
      </c>
      <c r="L54" s="46">
        <v>0.17</v>
      </c>
      <c r="M54" t="s">
        <v>248</v>
      </c>
    </row>
    <row r="55" spans="1:13" x14ac:dyDescent="0.25">
      <c r="A55" s="146"/>
      <c r="B55" s="146"/>
      <c r="C55" s="146"/>
      <c r="D55" s="150"/>
      <c r="E55" s="152"/>
      <c r="F55" s="151"/>
      <c r="G55" s="153" t="s">
        <v>214</v>
      </c>
      <c r="H55" s="128">
        <f>SUM(G49:G50)</f>
        <v>737034.03</v>
      </c>
      <c r="I55" s="178"/>
      <c r="J55" s="1">
        <f>SUM(H51:I55)</f>
        <v>893952.03</v>
      </c>
      <c r="K55" s="1"/>
      <c r="M55" t="s">
        <v>242</v>
      </c>
    </row>
    <row r="56" spans="1:13" x14ac:dyDescent="0.25">
      <c r="A56" s="146"/>
      <c r="B56" s="146"/>
      <c r="C56" s="146"/>
      <c r="D56" s="150"/>
      <c r="E56" s="152"/>
      <c r="F56" s="151"/>
      <c r="G56" s="153"/>
      <c r="H56" s="128"/>
      <c r="I56" s="178"/>
    </row>
    <row r="57" spans="1:13" x14ac:dyDescent="0.25">
      <c r="A57" s="140" t="s">
        <v>19</v>
      </c>
      <c r="B57" s="141"/>
      <c r="C57" s="141"/>
      <c r="D57" s="142" t="s">
        <v>53</v>
      </c>
      <c r="E57" s="144"/>
      <c r="F57" s="143"/>
      <c r="G57" s="172">
        <f>SUM(E58:E61)</f>
        <v>8934270.5820000004</v>
      </c>
      <c r="H57" s="128"/>
      <c r="I57" s="178"/>
    </row>
    <row r="58" spans="1:13" x14ac:dyDescent="0.25">
      <c r="A58" s="141"/>
      <c r="B58" s="141"/>
      <c r="C58" s="141"/>
      <c r="D58" s="142" t="s">
        <v>50</v>
      </c>
      <c r="E58" s="144">
        <f>9346086*0.342+96000-111</f>
        <v>3292250.4120000005</v>
      </c>
      <c r="F58" s="143"/>
      <c r="G58" s="172"/>
      <c r="H58" s="128"/>
      <c r="I58" s="178"/>
    </row>
    <row r="59" spans="1:13" x14ac:dyDescent="0.25">
      <c r="A59" s="141"/>
      <c r="B59" s="141"/>
      <c r="C59" s="141"/>
      <c r="D59" s="142" t="s">
        <v>51</v>
      </c>
      <c r="E59" s="144">
        <f>14965189*0.342</f>
        <v>5118094.6380000003</v>
      </c>
      <c r="F59" s="143"/>
      <c r="G59" s="172"/>
      <c r="H59" s="128"/>
      <c r="I59" s="178"/>
    </row>
    <row r="60" spans="1:13" x14ac:dyDescent="0.25">
      <c r="A60" s="141"/>
      <c r="B60" s="141"/>
      <c r="C60" s="141"/>
      <c r="D60" s="142" t="s">
        <v>55</v>
      </c>
      <c r="E60" s="144">
        <f>1356496*0.342</f>
        <v>463921.63200000004</v>
      </c>
      <c r="F60" s="143"/>
      <c r="G60" s="172"/>
      <c r="H60" s="128"/>
      <c r="I60" s="178"/>
    </row>
    <row r="61" spans="1:13" x14ac:dyDescent="0.25">
      <c r="A61" s="141"/>
      <c r="B61" s="141"/>
      <c r="C61" s="141"/>
      <c r="D61" s="142" t="s">
        <v>79</v>
      </c>
      <c r="E61" s="144">
        <f>175450*0.342</f>
        <v>60003.9</v>
      </c>
      <c r="F61" s="143"/>
      <c r="G61" s="172"/>
      <c r="H61" s="128"/>
      <c r="I61" s="178"/>
    </row>
    <row r="62" spans="1:13" x14ac:dyDescent="0.25">
      <c r="A62" s="142"/>
      <c r="B62" s="141"/>
      <c r="C62" s="141"/>
      <c r="D62" s="142" t="s">
        <v>181</v>
      </c>
      <c r="E62" s="144"/>
      <c r="F62" s="143"/>
      <c r="G62" s="172">
        <v>-608098</v>
      </c>
      <c r="H62" s="133"/>
      <c r="I62" s="178"/>
    </row>
    <row r="63" spans="1:13" x14ac:dyDescent="0.25">
      <c r="A63" s="150"/>
      <c r="B63" s="150" t="s">
        <v>195</v>
      </c>
      <c r="C63" s="146"/>
      <c r="D63" s="150"/>
      <c r="E63" s="152"/>
      <c r="F63" s="151"/>
      <c r="G63" s="153"/>
      <c r="H63" s="133"/>
      <c r="I63" s="178">
        <v>5173</v>
      </c>
      <c r="M63" t="s">
        <v>250</v>
      </c>
    </row>
    <row r="64" spans="1:13" x14ac:dyDescent="0.25">
      <c r="A64" s="150"/>
      <c r="B64" s="150" t="s">
        <v>265</v>
      </c>
      <c r="C64" s="146"/>
      <c r="D64" s="150"/>
      <c r="E64" s="152"/>
      <c r="F64" s="151"/>
      <c r="G64" s="153"/>
      <c r="H64" s="133"/>
      <c r="I64" s="178">
        <v>781355</v>
      </c>
    </row>
    <row r="65" spans="1:13" x14ac:dyDescent="0.25">
      <c r="A65" s="150"/>
      <c r="B65" s="150" t="s">
        <v>266</v>
      </c>
      <c r="C65" s="146"/>
      <c r="D65" s="150"/>
      <c r="E65" s="152"/>
      <c r="F65" s="151"/>
      <c r="G65" s="153"/>
      <c r="H65" s="133"/>
      <c r="I65" s="178">
        <v>-781355</v>
      </c>
    </row>
    <row r="66" spans="1:13" x14ac:dyDescent="0.25">
      <c r="A66" s="150"/>
      <c r="B66" s="150" t="s">
        <v>211</v>
      </c>
      <c r="C66" s="146"/>
      <c r="D66" s="150"/>
      <c r="E66" s="152"/>
      <c r="F66" s="151"/>
      <c r="G66" s="153"/>
      <c r="H66" s="133"/>
      <c r="I66" s="178">
        <v>2000000</v>
      </c>
      <c r="M66" t="s">
        <v>249</v>
      </c>
    </row>
    <row r="67" spans="1:13" x14ac:dyDescent="0.25">
      <c r="A67" s="150"/>
      <c r="B67" s="150" t="s">
        <v>196</v>
      </c>
      <c r="C67" s="146"/>
      <c r="D67" s="150"/>
      <c r="E67" s="152"/>
      <c r="F67" s="151"/>
      <c r="G67" s="153"/>
      <c r="H67" s="133"/>
      <c r="I67" s="178">
        <v>195582</v>
      </c>
      <c r="L67" s="46">
        <v>0.4</v>
      </c>
      <c r="M67" t="s">
        <v>248</v>
      </c>
    </row>
    <row r="68" spans="1:13" x14ac:dyDescent="0.25">
      <c r="A68" s="146"/>
      <c r="B68" s="146"/>
      <c r="C68" s="146"/>
      <c r="D68" s="146"/>
      <c r="E68" s="152"/>
      <c r="F68" s="151"/>
      <c r="G68" s="153" t="s">
        <v>214</v>
      </c>
      <c r="H68" s="128">
        <f>SUM(G57:G62)</f>
        <v>8326172.5820000004</v>
      </c>
      <c r="I68" s="178"/>
      <c r="J68" s="1">
        <f>SUM(H63:I68)</f>
        <v>10526927.582</v>
      </c>
      <c r="K68" s="1"/>
      <c r="M68" t="s">
        <v>242</v>
      </c>
    </row>
    <row r="69" spans="1:13" x14ac:dyDescent="0.25">
      <c r="A69" s="146"/>
      <c r="B69" s="146"/>
      <c r="C69" s="146"/>
      <c r="D69" s="150"/>
      <c r="E69" s="152"/>
      <c r="F69" s="151"/>
      <c r="G69" s="153"/>
      <c r="H69" s="128"/>
      <c r="I69" s="178"/>
    </row>
    <row r="70" spans="1:13" x14ac:dyDescent="0.25">
      <c r="A70" s="140" t="s">
        <v>14</v>
      </c>
      <c r="B70" s="141"/>
      <c r="C70" s="141"/>
      <c r="D70" s="142" t="s">
        <v>53</v>
      </c>
      <c r="E70" s="144"/>
      <c r="F70" s="143"/>
      <c r="G70" s="172">
        <f>SUM(E71:E73)+8780</f>
        <v>3860736.8000000003</v>
      </c>
      <c r="H70" s="128"/>
      <c r="I70" s="178"/>
    </row>
    <row r="71" spans="1:13" x14ac:dyDescent="0.25">
      <c r="A71" s="141"/>
      <c r="B71" s="141"/>
      <c r="C71" s="141"/>
      <c r="D71" s="142" t="s">
        <v>50</v>
      </c>
      <c r="E71" s="144">
        <f>1965467*0.6</f>
        <v>1179280.2</v>
      </c>
      <c r="F71" s="143"/>
      <c r="G71" s="172">
        <f>E71*F71</f>
        <v>0</v>
      </c>
      <c r="H71" s="128"/>
      <c r="I71" s="178"/>
    </row>
    <row r="72" spans="1:13" x14ac:dyDescent="0.25">
      <c r="A72" s="141"/>
      <c r="B72" s="141"/>
      <c r="C72" s="141"/>
      <c r="D72" s="142" t="s">
        <v>51</v>
      </c>
      <c r="E72" s="144">
        <f>(2151367*0.6)+1200000</f>
        <v>2490820.2000000002</v>
      </c>
      <c r="F72" s="143"/>
      <c r="G72" s="172"/>
      <c r="H72" s="128"/>
      <c r="I72" s="178"/>
    </row>
    <row r="73" spans="1:13" x14ac:dyDescent="0.25">
      <c r="A73" s="141"/>
      <c r="B73" s="141"/>
      <c r="C73" s="141"/>
      <c r="D73" s="142" t="s">
        <v>62</v>
      </c>
      <c r="E73" s="144">
        <f>303094*0.6</f>
        <v>181856.4</v>
      </c>
      <c r="F73" s="143"/>
      <c r="G73" s="175"/>
      <c r="H73" s="128"/>
      <c r="I73" s="178"/>
    </row>
    <row r="74" spans="1:13" x14ac:dyDescent="0.25">
      <c r="A74" s="141"/>
      <c r="B74" s="141"/>
      <c r="C74" s="141"/>
      <c r="D74" s="142" t="s">
        <v>180</v>
      </c>
      <c r="E74" s="144"/>
      <c r="F74" s="143"/>
      <c r="G74" s="172">
        <v>200000</v>
      </c>
      <c r="H74" s="128"/>
      <c r="I74" s="178"/>
    </row>
    <row r="75" spans="1:13" x14ac:dyDescent="0.25">
      <c r="A75" s="141"/>
      <c r="B75" s="141"/>
      <c r="C75" s="141"/>
      <c r="D75" s="142" t="s">
        <v>70</v>
      </c>
      <c r="E75" s="144"/>
      <c r="F75" s="143"/>
      <c r="G75" s="172">
        <v>75000</v>
      </c>
      <c r="H75" s="128"/>
      <c r="I75" s="178"/>
    </row>
    <row r="76" spans="1:13" x14ac:dyDescent="0.25">
      <c r="A76" s="141"/>
      <c r="B76" s="141"/>
      <c r="C76" s="141"/>
      <c r="D76" s="142" t="s">
        <v>72</v>
      </c>
      <c r="E76" s="144"/>
      <c r="F76" s="143"/>
      <c r="G76" s="172">
        <v>54000</v>
      </c>
      <c r="H76" s="128"/>
      <c r="I76" s="178"/>
    </row>
    <row r="77" spans="1:13" x14ac:dyDescent="0.25">
      <c r="A77" s="142"/>
      <c r="B77" s="141"/>
      <c r="C77" s="141"/>
      <c r="D77" s="142" t="s">
        <v>181</v>
      </c>
      <c r="E77" s="144"/>
      <c r="F77" s="143"/>
      <c r="G77" s="172">
        <v>-270958</v>
      </c>
      <c r="H77" s="133"/>
      <c r="I77" s="178"/>
    </row>
    <row r="78" spans="1:13" x14ac:dyDescent="0.25">
      <c r="A78" s="150"/>
      <c r="B78" s="150" t="s">
        <v>195</v>
      </c>
      <c r="C78" s="146"/>
      <c r="D78" s="150"/>
      <c r="E78" s="152"/>
      <c r="F78" s="151"/>
      <c r="G78" s="153"/>
      <c r="H78" s="133"/>
      <c r="I78" s="178"/>
    </row>
    <row r="79" spans="1:13" x14ac:dyDescent="0.25">
      <c r="A79" s="150"/>
      <c r="B79" s="150" t="s">
        <v>264</v>
      </c>
      <c r="C79" s="146"/>
      <c r="D79" s="150"/>
      <c r="E79" s="152"/>
      <c r="F79" s="151"/>
      <c r="G79" s="153"/>
      <c r="H79" s="133"/>
      <c r="I79" s="178">
        <v>262178</v>
      </c>
      <c r="M79" t="s">
        <v>240</v>
      </c>
    </row>
    <row r="80" spans="1:13" x14ac:dyDescent="0.25">
      <c r="A80" s="150"/>
      <c r="B80" s="150" t="s">
        <v>210</v>
      </c>
      <c r="C80" s="146"/>
      <c r="D80" s="150"/>
      <c r="E80" s="152"/>
      <c r="F80" s="151"/>
      <c r="G80" s="153"/>
      <c r="H80" s="133"/>
      <c r="I80" s="178">
        <v>500000</v>
      </c>
      <c r="M80" t="s">
        <v>251</v>
      </c>
    </row>
    <row r="81" spans="1:13" x14ac:dyDescent="0.25">
      <c r="A81" s="150"/>
      <c r="B81" s="150" t="s">
        <v>206</v>
      </c>
      <c r="C81" s="146"/>
      <c r="D81" s="150"/>
      <c r="E81" s="152"/>
      <c r="F81" s="151"/>
      <c r="G81" s="153"/>
      <c r="H81" s="133"/>
      <c r="I81" s="178">
        <v>7828932</v>
      </c>
      <c r="M81" t="s">
        <v>252</v>
      </c>
    </row>
    <row r="82" spans="1:13" x14ac:dyDescent="0.25">
      <c r="A82" s="150"/>
      <c r="B82" s="150" t="s">
        <v>268</v>
      </c>
      <c r="C82" s="146"/>
      <c r="D82" s="150"/>
      <c r="E82" s="152"/>
      <c r="F82" s="151"/>
      <c r="G82" s="153"/>
      <c r="H82" s="133"/>
      <c r="I82" s="178">
        <v>-897526</v>
      </c>
      <c r="M82" t="s">
        <v>267</v>
      </c>
    </row>
    <row r="83" spans="1:13" x14ac:dyDescent="0.25">
      <c r="A83" s="150"/>
      <c r="B83" s="150" t="s">
        <v>196</v>
      </c>
      <c r="C83" s="146"/>
      <c r="D83" s="150"/>
      <c r="E83" s="152"/>
      <c r="F83" s="151"/>
      <c r="G83" s="153"/>
      <c r="H83" s="133"/>
      <c r="I83" s="178">
        <v>61491</v>
      </c>
      <c r="L83" s="46">
        <v>0.65</v>
      </c>
      <c r="M83" t="s">
        <v>248</v>
      </c>
    </row>
    <row r="84" spans="1:13" x14ac:dyDescent="0.25">
      <c r="A84" s="146"/>
      <c r="B84" s="146"/>
      <c r="C84" s="146"/>
      <c r="D84" s="150"/>
      <c r="E84" s="152"/>
      <c r="F84" s="151"/>
      <c r="G84" s="153" t="s">
        <v>214</v>
      </c>
      <c r="H84" s="128">
        <f>SUM(G70:G77)</f>
        <v>3918778.8000000003</v>
      </c>
      <c r="I84" s="178"/>
      <c r="J84" s="1">
        <f>SUM(H78:I84)</f>
        <v>11673853.800000001</v>
      </c>
      <c r="K84" s="1"/>
      <c r="M84" t="s">
        <v>242</v>
      </c>
    </row>
    <row r="85" spans="1:13" x14ac:dyDescent="0.25">
      <c r="A85" s="146"/>
      <c r="B85" s="146"/>
      <c r="C85" s="146"/>
      <c r="D85" s="150"/>
      <c r="E85" s="152"/>
      <c r="F85" s="151"/>
      <c r="G85" s="153"/>
      <c r="H85" s="128"/>
      <c r="I85" s="178"/>
    </row>
    <row r="86" spans="1:13" x14ac:dyDescent="0.25">
      <c r="A86" s="140" t="s">
        <v>21</v>
      </c>
      <c r="B86" s="141"/>
      <c r="C86" s="141"/>
      <c r="D86" s="142" t="s">
        <v>53</v>
      </c>
      <c r="E86" s="144"/>
      <c r="F86" s="143"/>
      <c r="G86" s="172">
        <f>SUM(E87:E89)</f>
        <v>340838</v>
      </c>
      <c r="H86" s="128"/>
      <c r="I86" s="178"/>
    </row>
    <row r="87" spans="1:13" x14ac:dyDescent="0.25">
      <c r="A87" s="142" t="s">
        <v>269</v>
      </c>
      <c r="B87" s="141"/>
      <c r="C87" s="141"/>
      <c r="D87" s="142" t="s">
        <v>50</v>
      </c>
      <c r="E87" s="144">
        <f>333640-132540</f>
        <v>201100</v>
      </c>
      <c r="F87" s="143"/>
      <c r="G87" s="172"/>
      <c r="H87" s="128"/>
      <c r="I87" s="178"/>
      <c r="M87" t="s">
        <v>253</v>
      </c>
    </row>
    <row r="88" spans="1:13" x14ac:dyDescent="0.25">
      <c r="A88" s="141"/>
      <c r="B88" s="141"/>
      <c r="C88" s="141"/>
      <c r="D88" s="142" t="s">
        <v>51</v>
      </c>
      <c r="E88" s="144">
        <f>2261597-1714593-468048</f>
        <v>78956</v>
      </c>
      <c r="F88" s="143"/>
      <c r="G88" s="172"/>
      <c r="H88" s="128"/>
      <c r="I88" s="178"/>
      <c r="M88" t="s">
        <v>254</v>
      </c>
    </row>
    <row r="89" spans="1:13" x14ac:dyDescent="0.25">
      <c r="A89" s="141"/>
      <c r="B89" s="141"/>
      <c r="C89" s="141"/>
      <c r="D89" s="142" t="s">
        <v>62</v>
      </c>
      <c r="E89" s="144">
        <v>60782</v>
      </c>
      <c r="F89" s="143"/>
      <c r="G89" s="172"/>
      <c r="H89" s="128"/>
      <c r="I89" s="178"/>
    </row>
    <row r="90" spans="1:13" x14ac:dyDescent="0.25">
      <c r="A90" s="141"/>
      <c r="B90" s="141"/>
      <c r="C90" s="141"/>
      <c r="D90" s="142" t="s">
        <v>181</v>
      </c>
      <c r="E90" s="144"/>
      <c r="F90" s="143"/>
      <c r="G90" s="172">
        <v>-29699</v>
      </c>
      <c r="H90" s="128"/>
      <c r="I90" s="178"/>
    </row>
    <row r="91" spans="1:13" x14ac:dyDescent="0.25">
      <c r="A91" s="146"/>
      <c r="B91" s="150" t="s">
        <v>195</v>
      </c>
      <c r="C91" s="146"/>
      <c r="D91" s="150"/>
      <c r="E91" s="152"/>
      <c r="F91" s="151"/>
      <c r="G91" s="153"/>
      <c r="H91" s="128"/>
      <c r="I91" s="178"/>
    </row>
    <row r="92" spans="1:13" x14ac:dyDescent="0.25">
      <c r="A92" s="146"/>
      <c r="B92" s="150" t="s">
        <v>203</v>
      </c>
      <c r="C92" s="146"/>
      <c r="D92" s="150"/>
      <c r="E92" s="152"/>
      <c r="F92" s="151"/>
      <c r="G92" s="153"/>
      <c r="H92" s="128"/>
      <c r="I92" s="178">
        <v>-25239</v>
      </c>
      <c r="M92" t="s">
        <v>255</v>
      </c>
    </row>
    <row r="93" spans="1:13" x14ac:dyDescent="0.25">
      <c r="A93" s="146"/>
      <c r="B93" s="150" t="s">
        <v>207</v>
      </c>
      <c r="C93" s="146"/>
      <c r="D93" s="150"/>
      <c r="E93" s="152"/>
      <c r="F93" s="151"/>
      <c r="G93" s="153"/>
      <c r="H93" s="128"/>
      <c r="I93" s="178">
        <f>-148894+62549+40000</f>
        <v>-46345</v>
      </c>
      <c r="M93" t="s">
        <v>256</v>
      </c>
    </row>
    <row r="94" spans="1:13" x14ac:dyDescent="0.25">
      <c r="A94" s="146"/>
      <c r="B94" s="150" t="s">
        <v>196</v>
      </c>
      <c r="C94" s="146"/>
      <c r="D94" s="150"/>
      <c r="E94" s="152"/>
      <c r="F94" s="151"/>
      <c r="G94" s="153"/>
      <c r="H94" s="128"/>
      <c r="I94" s="178"/>
      <c r="L94" s="46">
        <v>1</v>
      </c>
      <c r="M94" t="s">
        <v>257</v>
      </c>
    </row>
    <row r="95" spans="1:13" x14ac:dyDescent="0.25">
      <c r="A95" s="146"/>
      <c r="B95" s="146"/>
      <c r="C95" s="146"/>
      <c r="D95" s="150"/>
      <c r="E95" s="152"/>
      <c r="F95" s="151"/>
      <c r="G95" s="153" t="s">
        <v>214</v>
      </c>
      <c r="H95" s="128">
        <f>SUM(G86:G90)</f>
        <v>311139</v>
      </c>
      <c r="I95" s="178"/>
      <c r="J95" s="1">
        <f>SUM(H92:I95)</f>
        <v>239555</v>
      </c>
      <c r="K95" s="1"/>
    </row>
    <row r="96" spans="1:13" x14ac:dyDescent="0.25">
      <c r="A96" s="146"/>
      <c r="B96" s="146"/>
      <c r="C96" s="146"/>
      <c r="D96" s="150"/>
      <c r="E96" s="152"/>
      <c r="F96" s="151"/>
      <c r="G96" s="153"/>
      <c r="H96" s="133"/>
      <c r="I96" s="178"/>
    </row>
    <row r="97" spans="1:13" x14ac:dyDescent="0.25">
      <c r="A97" s="146"/>
      <c r="B97" s="146"/>
      <c r="C97" s="146"/>
      <c r="D97" s="150"/>
      <c r="E97" s="152"/>
      <c r="F97" s="151"/>
      <c r="G97" s="153"/>
      <c r="H97" s="128"/>
      <c r="I97" s="178"/>
    </row>
    <row r="98" spans="1:13" x14ac:dyDescent="0.25">
      <c r="A98" s="140" t="s">
        <v>22</v>
      </c>
      <c r="B98" s="141"/>
      <c r="C98" s="141"/>
      <c r="D98" s="142" t="s">
        <v>54</v>
      </c>
      <c r="E98" s="144"/>
      <c r="F98" s="143"/>
      <c r="G98" s="172">
        <v>1250069</v>
      </c>
      <c r="H98" s="128"/>
      <c r="I98" s="178"/>
    </row>
    <row r="99" spans="1:13" x14ac:dyDescent="0.25">
      <c r="A99" s="141"/>
      <c r="B99" s="141"/>
      <c r="C99" s="141"/>
      <c r="D99" s="142" t="s">
        <v>50</v>
      </c>
      <c r="E99" s="144">
        <v>750000</v>
      </c>
      <c r="F99" s="143"/>
      <c r="G99" s="172">
        <f>E99*F99</f>
        <v>0</v>
      </c>
      <c r="H99" s="128"/>
      <c r="I99" s="178"/>
    </row>
    <row r="100" spans="1:13" x14ac:dyDescent="0.25">
      <c r="A100" s="141"/>
      <c r="B100" s="141"/>
      <c r="C100" s="141"/>
      <c r="D100" s="142" t="s">
        <v>181</v>
      </c>
      <c r="E100" s="144"/>
      <c r="F100" s="143"/>
      <c r="G100" s="172">
        <v>-85084</v>
      </c>
      <c r="H100" s="133"/>
      <c r="I100" s="178"/>
    </row>
    <row r="101" spans="1:13" x14ac:dyDescent="0.25">
      <c r="A101" s="146"/>
      <c r="B101" s="150" t="s">
        <v>195</v>
      </c>
      <c r="C101" s="146"/>
      <c r="D101" s="150"/>
      <c r="E101" s="152"/>
      <c r="F101" s="151"/>
      <c r="G101" s="153"/>
      <c r="H101" s="133"/>
      <c r="I101" s="178"/>
    </row>
    <row r="102" spans="1:13" x14ac:dyDescent="0.25">
      <c r="A102" s="146"/>
      <c r="B102" s="150" t="s">
        <v>264</v>
      </c>
      <c r="C102" s="146"/>
      <c r="D102" s="150"/>
      <c r="E102" s="152"/>
      <c r="F102" s="151"/>
      <c r="G102" s="153"/>
      <c r="H102" s="133"/>
      <c r="I102" s="178">
        <v>85084</v>
      </c>
      <c r="M102" t="s">
        <v>240</v>
      </c>
    </row>
    <row r="103" spans="1:13" x14ac:dyDescent="0.25">
      <c r="A103" s="146"/>
      <c r="B103" s="150" t="s">
        <v>209</v>
      </c>
      <c r="C103" s="146"/>
      <c r="D103" s="150"/>
      <c r="E103" s="152"/>
      <c r="F103" s="151"/>
      <c r="G103" s="153"/>
      <c r="H103" s="133"/>
      <c r="I103" s="178">
        <v>200000</v>
      </c>
      <c r="M103" t="s">
        <v>258</v>
      </c>
    </row>
    <row r="104" spans="1:13" x14ac:dyDescent="0.25">
      <c r="A104" s="146"/>
      <c r="B104" s="150" t="s">
        <v>196</v>
      </c>
      <c r="C104" s="146"/>
      <c r="D104" s="150"/>
      <c r="E104" s="152"/>
      <c r="F104" s="151"/>
      <c r="G104" s="153"/>
      <c r="H104" s="133"/>
      <c r="I104" s="178"/>
      <c r="L104" s="46">
        <v>1</v>
      </c>
      <c r="M104" t="s">
        <v>270</v>
      </c>
    </row>
    <row r="105" spans="1:13" x14ac:dyDescent="0.25">
      <c r="A105" s="146"/>
      <c r="B105" s="146"/>
      <c r="C105" s="146"/>
      <c r="D105" s="150"/>
      <c r="E105" s="152"/>
      <c r="F105" s="151"/>
      <c r="G105" s="153" t="s">
        <v>214</v>
      </c>
      <c r="H105" s="128">
        <f>SUM(G97:G100)</f>
        <v>1164985</v>
      </c>
      <c r="I105" s="178"/>
      <c r="J105" s="1">
        <f>SUM(H101:I105)</f>
        <v>1450069</v>
      </c>
      <c r="K105" s="1"/>
    </row>
    <row r="106" spans="1:13" x14ac:dyDescent="0.25">
      <c r="A106" s="146"/>
      <c r="B106" s="146"/>
      <c r="C106" s="146"/>
      <c r="D106" s="150"/>
      <c r="E106" s="152"/>
      <c r="F106" s="151"/>
      <c r="G106" s="153"/>
      <c r="H106" s="128"/>
      <c r="I106" s="178"/>
    </row>
    <row r="107" spans="1:13" x14ac:dyDescent="0.25">
      <c r="A107" s="140" t="s">
        <v>27</v>
      </c>
      <c r="B107" s="141"/>
      <c r="C107" s="141"/>
      <c r="D107" s="142" t="s">
        <v>54</v>
      </c>
      <c r="E107" s="144"/>
      <c r="F107" s="143"/>
      <c r="G107" s="172">
        <f>1594000*0.6</f>
        <v>956400</v>
      </c>
      <c r="H107" s="128"/>
      <c r="I107" s="178"/>
    </row>
    <row r="108" spans="1:13" x14ac:dyDescent="0.25">
      <c r="A108" s="141"/>
      <c r="B108" s="141"/>
      <c r="C108" s="141"/>
      <c r="D108" s="142" t="s">
        <v>50</v>
      </c>
      <c r="E108" s="144">
        <f>1063000*0.6</f>
        <v>637800</v>
      </c>
      <c r="F108" s="143"/>
      <c r="G108" s="172">
        <f>F108*E108</f>
        <v>0</v>
      </c>
      <c r="H108" s="128"/>
      <c r="I108" s="178"/>
    </row>
    <row r="109" spans="1:13" x14ac:dyDescent="0.25">
      <c r="A109" s="141"/>
      <c r="B109" s="141"/>
      <c r="C109" s="141"/>
      <c r="D109" s="142" t="s">
        <v>181</v>
      </c>
      <c r="E109" s="144"/>
      <c r="F109" s="143"/>
      <c r="G109" s="172">
        <v>-20419</v>
      </c>
      <c r="H109" s="133"/>
      <c r="I109" s="178"/>
    </row>
    <row r="110" spans="1:13" x14ac:dyDescent="0.25">
      <c r="A110" s="146"/>
      <c r="B110" s="150" t="s">
        <v>195</v>
      </c>
      <c r="C110" s="146"/>
      <c r="D110" s="150"/>
      <c r="E110" s="152"/>
      <c r="F110" s="151"/>
      <c r="G110" s="153"/>
      <c r="H110" s="133"/>
      <c r="I110" s="178"/>
    </row>
    <row r="111" spans="1:13" x14ac:dyDescent="0.25">
      <c r="A111" s="146"/>
      <c r="B111" s="150" t="s">
        <v>264</v>
      </c>
      <c r="C111" s="146"/>
      <c r="D111" s="150"/>
      <c r="E111" s="152"/>
      <c r="F111" s="151"/>
      <c r="G111" s="153"/>
      <c r="H111" s="133"/>
      <c r="I111" s="178">
        <v>20419</v>
      </c>
    </row>
    <row r="112" spans="1:13" x14ac:dyDescent="0.25">
      <c r="A112" s="146"/>
      <c r="B112" s="150" t="s">
        <v>196</v>
      </c>
      <c r="C112" s="146"/>
      <c r="D112" s="150"/>
      <c r="E112" s="152"/>
      <c r="F112" s="151"/>
      <c r="G112" s="153"/>
      <c r="H112" s="133"/>
      <c r="I112" s="178"/>
      <c r="L112" s="46">
        <v>1</v>
      </c>
      <c r="M112" t="s">
        <v>270</v>
      </c>
    </row>
    <row r="113" spans="1:13" x14ac:dyDescent="0.25">
      <c r="A113" s="146"/>
      <c r="B113" s="146"/>
      <c r="C113" s="146"/>
      <c r="D113" s="146"/>
      <c r="E113" s="152"/>
      <c r="F113" s="151"/>
      <c r="G113" s="153" t="s">
        <v>214</v>
      </c>
      <c r="H113" s="128">
        <f>SUM(G107:G109)</f>
        <v>935981</v>
      </c>
      <c r="I113" s="178"/>
      <c r="J113" s="1">
        <f>SUM(H110:I113)</f>
        <v>956400</v>
      </c>
      <c r="K113" s="1"/>
    </row>
    <row r="114" spans="1:13" x14ac:dyDescent="0.25">
      <c r="A114" s="146"/>
      <c r="B114" s="146"/>
      <c r="C114" s="146"/>
      <c r="D114" s="150"/>
      <c r="E114" s="150"/>
      <c r="F114" s="151"/>
      <c r="G114" s="153"/>
      <c r="H114" s="128"/>
      <c r="I114" s="178"/>
    </row>
    <row r="115" spans="1:13" x14ac:dyDescent="0.25">
      <c r="A115" s="140" t="s">
        <v>28</v>
      </c>
      <c r="B115" s="141"/>
      <c r="C115" s="141"/>
      <c r="D115" s="142" t="s">
        <v>182</v>
      </c>
      <c r="E115" s="142"/>
      <c r="F115" s="143"/>
      <c r="G115" s="172">
        <f>900000*0.6</f>
        <v>540000</v>
      </c>
      <c r="H115" s="128"/>
      <c r="I115" s="178"/>
    </row>
    <row r="116" spans="1:13" x14ac:dyDescent="0.25">
      <c r="A116" s="141"/>
      <c r="B116" s="141"/>
      <c r="C116" s="141"/>
      <c r="D116" s="142" t="s">
        <v>181</v>
      </c>
      <c r="E116" s="144"/>
      <c r="F116" s="143"/>
      <c r="G116" s="172">
        <v>-36754</v>
      </c>
      <c r="H116" s="133"/>
      <c r="I116" s="178"/>
    </row>
    <row r="117" spans="1:13" x14ac:dyDescent="0.25">
      <c r="A117" s="146"/>
      <c r="B117" s="150" t="s">
        <v>195</v>
      </c>
      <c r="C117" s="146"/>
      <c r="D117" s="150"/>
      <c r="E117" s="152"/>
      <c r="F117" s="151"/>
      <c r="G117" s="153"/>
      <c r="H117" s="133"/>
      <c r="I117" s="178"/>
    </row>
    <row r="118" spans="1:13" x14ac:dyDescent="0.25">
      <c r="A118" s="146"/>
      <c r="B118" s="150" t="s">
        <v>264</v>
      </c>
      <c r="C118" s="146"/>
      <c r="D118" s="150"/>
      <c r="E118" s="152"/>
      <c r="F118" s="151"/>
      <c r="G118" s="153"/>
      <c r="H118" s="133"/>
      <c r="I118" s="178">
        <v>36754</v>
      </c>
    </row>
    <row r="119" spans="1:13" x14ac:dyDescent="0.25">
      <c r="A119" s="146"/>
      <c r="B119" s="150" t="s">
        <v>196</v>
      </c>
      <c r="C119" s="146"/>
      <c r="D119" s="150"/>
      <c r="E119" s="152"/>
      <c r="F119" s="151"/>
      <c r="G119" s="153"/>
      <c r="H119" s="133"/>
      <c r="I119" s="178"/>
      <c r="L119" s="46">
        <v>1</v>
      </c>
      <c r="M119" t="s">
        <v>270</v>
      </c>
    </row>
    <row r="120" spans="1:13" x14ac:dyDescent="0.25">
      <c r="A120" s="146"/>
      <c r="B120" s="146"/>
      <c r="C120" s="146"/>
      <c r="D120" s="146"/>
      <c r="E120" s="154"/>
      <c r="F120" s="146"/>
      <c r="G120" s="153" t="s">
        <v>214</v>
      </c>
      <c r="H120" s="128">
        <f>SUM(G115:G116)</f>
        <v>503246</v>
      </c>
      <c r="I120" s="178"/>
      <c r="J120" s="1">
        <f>SUM(H117:I120)</f>
        <v>540000</v>
      </c>
      <c r="K120" s="1"/>
    </row>
    <row r="121" spans="1:13" x14ac:dyDescent="0.25">
      <c r="G121" s="1"/>
      <c r="H121" s="128"/>
      <c r="I121" s="178"/>
    </row>
    <row r="122" spans="1:13" ht="23.25" x14ac:dyDescent="0.35">
      <c r="A122" s="3"/>
      <c r="B122" s="3"/>
      <c r="C122" s="3"/>
      <c r="D122" s="3"/>
      <c r="E122" s="3"/>
      <c r="G122" s="3" t="s">
        <v>226</v>
      </c>
      <c r="H122" s="129">
        <f>SUM(H7:H120)</f>
        <v>21542668.772</v>
      </c>
      <c r="I122" s="178"/>
    </row>
    <row r="123" spans="1:13" ht="27" thickBot="1" x14ac:dyDescent="0.45">
      <c r="G123" s="3" t="s">
        <v>198</v>
      </c>
      <c r="H123" s="177"/>
      <c r="I123" s="183">
        <f>SUM(I7:I122)</f>
        <v>11348386</v>
      </c>
    </row>
    <row r="124" spans="1:13" ht="26.25" x14ac:dyDescent="0.4">
      <c r="A124" s="3"/>
      <c r="G124" s="3" t="s">
        <v>227</v>
      </c>
      <c r="H124" s="177"/>
      <c r="I124" s="180">
        <f>SUM(H122:I123)</f>
        <v>32891054.772</v>
      </c>
      <c r="J124" s="1">
        <f>SUM(J10:J123)</f>
        <v>32891054.772000004</v>
      </c>
    </row>
    <row r="125" spans="1:13" ht="28.5" x14ac:dyDescent="0.45">
      <c r="A125" s="3"/>
      <c r="G125" s="57"/>
      <c r="H125" s="177"/>
      <c r="I125" s="177"/>
    </row>
    <row r="126" spans="1:13" ht="29.25" thickBot="1" x14ac:dyDescent="0.5">
      <c r="A126" s="3" t="s">
        <v>30</v>
      </c>
      <c r="G126" s="57"/>
      <c r="H126" s="177"/>
      <c r="I126" s="177"/>
    </row>
    <row r="127" spans="1:13" x14ac:dyDescent="0.25">
      <c r="D127" s="141"/>
      <c r="E127" s="141"/>
      <c r="F127" s="141"/>
      <c r="G127" s="165"/>
      <c r="H127" s="167"/>
      <c r="I127" s="178"/>
    </row>
    <row r="128" spans="1:13" x14ac:dyDescent="0.25">
      <c r="D128" s="141" t="s">
        <v>31</v>
      </c>
      <c r="E128" s="141"/>
      <c r="F128" s="141"/>
      <c r="G128" s="166">
        <v>14460000</v>
      </c>
      <c r="H128" s="128"/>
      <c r="I128" s="178"/>
    </row>
    <row r="129" spans="4:13" x14ac:dyDescent="0.25">
      <c r="D129" s="141" t="s">
        <v>188</v>
      </c>
      <c r="E129" s="141"/>
      <c r="F129" s="141"/>
      <c r="G129" s="165">
        <v>3.5000000000000003E-2</v>
      </c>
      <c r="H129" s="128">
        <f>G128*(1+G129)</f>
        <v>14966099.999999998</v>
      </c>
      <c r="I129" s="178"/>
    </row>
    <row r="130" spans="4:13" x14ac:dyDescent="0.25">
      <c r="D130" s="140" t="s">
        <v>201</v>
      </c>
      <c r="E130" s="141"/>
      <c r="F130" s="141"/>
      <c r="G130" s="165"/>
      <c r="H130" s="128"/>
      <c r="I130" s="178">
        <v>133900</v>
      </c>
      <c r="J130" s="1">
        <f>I130+H129</f>
        <v>15099999.999999998</v>
      </c>
      <c r="M130" t="s">
        <v>271</v>
      </c>
    </row>
    <row r="131" spans="4:13" x14ac:dyDescent="0.25">
      <c r="D131" s="141" t="s">
        <v>34</v>
      </c>
      <c r="E131" s="141"/>
      <c r="F131" s="141"/>
      <c r="G131" s="166">
        <f>5000000*0.6</f>
        <v>3000000</v>
      </c>
      <c r="H131" s="128"/>
      <c r="I131" s="178"/>
    </row>
    <row r="132" spans="4:13" x14ac:dyDescent="0.25">
      <c r="D132" s="141" t="s">
        <v>187</v>
      </c>
      <c r="E132" s="141"/>
      <c r="F132" s="141"/>
      <c r="G132" s="165">
        <v>0.03</v>
      </c>
      <c r="H132" s="128">
        <f>G131*(1+G132)</f>
        <v>3090000</v>
      </c>
      <c r="I132" s="178"/>
    </row>
    <row r="133" spans="4:13" x14ac:dyDescent="0.25">
      <c r="D133" s="140" t="s">
        <v>202</v>
      </c>
      <c r="E133" s="141"/>
      <c r="F133" s="141"/>
      <c r="G133" s="165"/>
      <c r="H133" s="128"/>
      <c r="I133" s="178">
        <v>2500000</v>
      </c>
      <c r="J133" s="1">
        <f>I133+H132</f>
        <v>5590000</v>
      </c>
      <c r="M133" t="s">
        <v>272</v>
      </c>
    </row>
    <row r="134" spans="4:13" x14ac:dyDescent="0.25">
      <c r="D134" s="141" t="s">
        <v>63</v>
      </c>
      <c r="E134" s="141"/>
      <c r="F134" s="141"/>
      <c r="G134" s="165"/>
      <c r="H134" s="128">
        <v>200000</v>
      </c>
      <c r="I134" s="178"/>
      <c r="J134" s="1">
        <f>I134+H134</f>
        <v>200000</v>
      </c>
      <c r="M134" t="s">
        <v>278</v>
      </c>
    </row>
    <row r="135" spans="4:13" x14ac:dyDescent="0.25">
      <c r="D135" s="141" t="s">
        <v>68</v>
      </c>
      <c r="E135" s="141"/>
      <c r="F135" s="141"/>
      <c r="G135" s="165"/>
      <c r="H135" s="128">
        <v>50000</v>
      </c>
      <c r="I135" s="178"/>
      <c r="J135" s="1">
        <f t="shared" ref="J135:J144" si="0">I135+H135</f>
        <v>50000</v>
      </c>
      <c r="M135" t="s">
        <v>276</v>
      </c>
    </row>
    <row r="136" spans="4:13" x14ac:dyDescent="0.25">
      <c r="D136" s="141" t="s">
        <v>74</v>
      </c>
      <c r="E136" s="141"/>
      <c r="F136" s="141"/>
      <c r="G136" s="165"/>
      <c r="H136" s="128">
        <v>100000</v>
      </c>
      <c r="I136" s="178"/>
      <c r="J136" s="1">
        <f t="shared" si="0"/>
        <v>100000</v>
      </c>
      <c r="M136" t="s">
        <v>273</v>
      </c>
    </row>
    <row r="137" spans="4:13" x14ac:dyDescent="0.25">
      <c r="D137" s="141" t="s">
        <v>35</v>
      </c>
      <c r="E137" s="141"/>
      <c r="F137" s="141"/>
      <c r="G137" s="165"/>
      <c r="H137" s="128">
        <v>621000</v>
      </c>
      <c r="I137" s="178"/>
      <c r="J137" s="1">
        <f t="shared" si="0"/>
        <v>621000</v>
      </c>
    </row>
    <row r="138" spans="4:13" x14ac:dyDescent="0.25">
      <c r="D138" s="141" t="s">
        <v>36</v>
      </c>
      <c r="E138" s="141"/>
      <c r="F138" s="141"/>
      <c r="G138" s="165"/>
      <c r="H138" s="128">
        <v>48000</v>
      </c>
      <c r="I138" s="178"/>
      <c r="J138" s="1">
        <f t="shared" si="0"/>
        <v>48000</v>
      </c>
    </row>
    <row r="139" spans="4:13" x14ac:dyDescent="0.25">
      <c r="D139" s="141" t="s">
        <v>37</v>
      </c>
      <c r="E139" s="141"/>
      <c r="F139" s="141"/>
      <c r="G139" s="165"/>
      <c r="H139" s="128">
        <v>660000</v>
      </c>
      <c r="I139" s="178"/>
      <c r="J139" s="1">
        <f t="shared" si="0"/>
        <v>660000</v>
      </c>
    </row>
    <row r="140" spans="4:13" x14ac:dyDescent="0.25">
      <c r="D140" s="141" t="s">
        <v>58</v>
      </c>
      <c r="E140" s="141"/>
      <c r="F140" s="141"/>
      <c r="G140" s="165"/>
      <c r="H140" s="128">
        <v>1288500</v>
      </c>
      <c r="I140" s="178">
        <f>1485000-H140</f>
        <v>196500</v>
      </c>
      <c r="J140" s="1">
        <f t="shared" si="0"/>
        <v>1485000</v>
      </c>
      <c r="M140" t="s">
        <v>274</v>
      </c>
    </row>
    <row r="141" spans="4:13" x14ac:dyDescent="0.25">
      <c r="D141" s="141" t="s">
        <v>69</v>
      </c>
      <c r="E141" s="141"/>
      <c r="F141" s="141"/>
      <c r="G141" s="165"/>
      <c r="H141" s="128">
        <v>120000</v>
      </c>
      <c r="I141" s="178"/>
      <c r="J141" s="1">
        <f t="shared" si="0"/>
        <v>120000</v>
      </c>
    </row>
    <row r="142" spans="4:13" x14ac:dyDescent="0.25">
      <c r="D142" s="141" t="s">
        <v>71</v>
      </c>
      <c r="E142" s="141"/>
      <c r="F142" s="141"/>
      <c r="G142" s="165"/>
      <c r="H142" s="128">
        <v>345000</v>
      </c>
      <c r="I142" s="178"/>
      <c r="J142" s="1">
        <f t="shared" si="0"/>
        <v>345000</v>
      </c>
      <c r="M142" t="s">
        <v>275</v>
      </c>
    </row>
    <row r="143" spans="4:13" x14ac:dyDescent="0.25">
      <c r="D143" s="140" t="s">
        <v>199</v>
      </c>
      <c r="E143" s="141"/>
      <c r="F143" s="141"/>
      <c r="G143" s="165"/>
      <c r="H143" s="128"/>
      <c r="I143" s="178">
        <v>781355</v>
      </c>
      <c r="J143" s="1">
        <f t="shared" si="0"/>
        <v>781355</v>
      </c>
      <c r="M143" t="s">
        <v>281</v>
      </c>
    </row>
    <row r="144" spans="4:13" x14ac:dyDescent="0.25">
      <c r="D144" s="141" t="s">
        <v>208</v>
      </c>
      <c r="E144" s="141"/>
      <c r="F144" s="141"/>
      <c r="G144" s="165"/>
      <c r="H144" s="128"/>
      <c r="I144" s="178">
        <v>7828932</v>
      </c>
      <c r="J144" s="1">
        <f t="shared" si="0"/>
        <v>7828932</v>
      </c>
      <c r="M144" t="s">
        <v>277</v>
      </c>
    </row>
    <row r="145" spans="4:13" x14ac:dyDescent="0.25">
      <c r="H145" s="128"/>
      <c r="I145" s="178"/>
      <c r="M145" t="s">
        <v>280</v>
      </c>
    </row>
    <row r="146" spans="4:13" ht="24" thickBot="1" x14ac:dyDescent="0.4">
      <c r="D146" s="8"/>
      <c r="E146" s="29"/>
      <c r="F146" s="191"/>
      <c r="G146" s="29" t="s">
        <v>228</v>
      </c>
      <c r="H146" s="192">
        <f>SUM(H129:H142)</f>
        <v>21488600</v>
      </c>
      <c r="I146" s="179"/>
      <c r="M146" t="s">
        <v>279</v>
      </c>
    </row>
    <row r="147" spans="4:13" ht="21.75" thickBot="1" x14ac:dyDescent="0.4">
      <c r="E147" s="29" t="s">
        <v>229</v>
      </c>
      <c r="F147" s="191"/>
      <c r="G147" s="29"/>
      <c r="H147" s="193"/>
      <c r="I147" s="194">
        <f>SUM(I128:I146)</f>
        <v>11440687</v>
      </c>
    </row>
    <row r="148" spans="4:13" ht="21.75" thickBot="1" x14ac:dyDescent="0.4">
      <c r="E148" s="29" t="s">
        <v>200</v>
      </c>
      <c r="F148" s="191"/>
      <c r="G148" s="29"/>
      <c r="H148" s="193"/>
      <c r="I148" s="179">
        <f>SUM(H146:I147)</f>
        <v>32929287</v>
      </c>
      <c r="J148" s="1">
        <f>SUM(J130:J147)</f>
        <v>32929287</v>
      </c>
    </row>
    <row r="149" spans="4:13" ht="24" thickBot="1" x14ac:dyDescent="0.4">
      <c r="D149" s="8"/>
      <c r="E149" s="29"/>
      <c r="F149" s="191"/>
      <c r="G149" s="29" t="s">
        <v>230</v>
      </c>
      <c r="H149" s="195">
        <f>H146-H122</f>
        <v>-54068.771999999881</v>
      </c>
      <c r="I149" s="184">
        <f>I148-I124</f>
        <v>38232.228000000119</v>
      </c>
      <c r="J149" s="1">
        <f>J148-J124</f>
        <v>38232.227999996394</v>
      </c>
    </row>
    <row r="152" spans="4:13" ht="18.75" x14ac:dyDescent="0.3">
      <c r="D152" s="26"/>
    </row>
    <row r="153" spans="4:13" ht="18.75" x14ac:dyDescent="0.3">
      <c r="D153" s="26"/>
    </row>
    <row r="154" spans="4:13" ht="18.75" x14ac:dyDescent="0.3">
      <c r="D154" s="26"/>
    </row>
  </sheetData>
  <pageMargins left="0.25" right="0.25" top="0.75" bottom="0.75" header="0.3" footer="0.3"/>
  <pageSetup paperSize="3" scale="29" orientation="portrait" r:id="rId1"/>
  <headerFooter>
    <oddHeader>&amp;C&amp;G</oddHeader>
    <oddFooter>&amp;LPage &amp;P of &amp;N&amp;R&amp;D</oddFooter>
  </headerFooter>
  <rowBreaks count="2" manualBreakCount="2">
    <brk id="48" max="9" man="1"/>
    <brk id="106" max="9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8"/>
  <sheetViews>
    <sheetView zoomScale="90" zoomScaleNormal="90" workbookViewId="0">
      <pane xSplit="1" ySplit="2" topLeftCell="B37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6.7109375" customWidth="1"/>
    <col min="2" max="2" width="23.7109375" customWidth="1"/>
    <col min="3" max="3" width="19.5703125" customWidth="1"/>
    <col min="4" max="4" width="18.140625" customWidth="1"/>
    <col min="5" max="5" width="20.85546875" customWidth="1"/>
    <col min="6" max="6" width="21.28515625" customWidth="1"/>
    <col min="7" max="7" width="20.42578125" customWidth="1"/>
    <col min="8" max="8" width="17.140625" customWidth="1"/>
    <col min="9" max="9" width="18.42578125" bestFit="1" customWidth="1"/>
    <col min="10" max="10" width="20.7109375" customWidth="1"/>
    <col min="11" max="11" width="1.7109375" customWidth="1"/>
    <col min="12" max="12" width="20.7109375" customWidth="1"/>
    <col min="13" max="13" width="1.7109375" customWidth="1"/>
    <col min="14" max="14" width="20.7109375" customWidth="1"/>
    <col min="15" max="15" width="1.7109375" customWidth="1"/>
    <col min="16" max="16" width="20.7109375" customWidth="1"/>
  </cols>
  <sheetData>
    <row r="1" spans="1:16" ht="47.25" thickBot="1" x14ac:dyDescent="0.75">
      <c r="A1" s="102" t="s">
        <v>159</v>
      </c>
      <c r="J1" s="215" t="s">
        <v>153</v>
      </c>
      <c r="K1" s="215"/>
      <c r="L1" s="216"/>
      <c r="M1" s="215"/>
      <c r="N1" s="215"/>
      <c r="O1" s="215"/>
      <c r="P1" s="215"/>
    </row>
    <row r="2" spans="1:16" ht="26.25" x14ac:dyDescent="0.4">
      <c r="B2" s="3"/>
      <c r="I2" s="101"/>
      <c r="J2" s="86" t="s">
        <v>126</v>
      </c>
      <c r="L2" s="131" t="s">
        <v>130</v>
      </c>
      <c r="M2" s="81"/>
      <c r="N2" s="96" t="s">
        <v>127</v>
      </c>
      <c r="O2" s="80"/>
      <c r="P2" s="104" t="s">
        <v>131</v>
      </c>
    </row>
    <row r="3" spans="1:16" ht="27.75" customHeight="1" x14ac:dyDescent="0.25">
      <c r="I3" t="s">
        <v>143</v>
      </c>
      <c r="J3" s="87" t="s">
        <v>128</v>
      </c>
      <c r="L3" s="132" t="s">
        <v>129</v>
      </c>
      <c r="M3" s="110"/>
      <c r="N3" s="111" t="s">
        <v>141</v>
      </c>
      <c r="O3" s="4"/>
      <c r="P3" s="112" t="s">
        <v>140</v>
      </c>
    </row>
    <row r="4" spans="1:16" ht="28.5" x14ac:dyDescent="0.45">
      <c r="A4" s="28" t="s">
        <v>94</v>
      </c>
      <c r="I4" t="s">
        <v>144</v>
      </c>
      <c r="J4" s="87" t="s">
        <v>137</v>
      </c>
      <c r="L4" s="133" t="s">
        <v>179</v>
      </c>
      <c r="M4" s="113"/>
      <c r="N4" s="111" t="s">
        <v>142</v>
      </c>
      <c r="O4" s="18"/>
      <c r="P4" s="112" t="s">
        <v>152</v>
      </c>
    </row>
    <row r="5" spans="1:16" ht="25.5" customHeight="1" x14ac:dyDescent="0.3">
      <c r="A5" s="26" t="s">
        <v>80</v>
      </c>
      <c r="B5" s="27">
        <f>G91+G74+G64+G25+G24+J17+J16+G49+G50+G38+G26</f>
        <v>6774387</v>
      </c>
      <c r="C5" s="26"/>
      <c r="I5" t="s">
        <v>145</v>
      </c>
      <c r="J5" s="87" t="s">
        <v>138</v>
      </c>
      <c r="L5" s="134" t="s">
        <v>154</v>
      </c>
      <c r="M5" s="82"/>
      <c r="N5" s="97" t="s">
        <v>176</v>
      </c>
      <c r="P5" s="105" t="s">
        <v>136</v>
      </c>
    </row>
    <row r="6" spans="1:16" ht="25.5" customHeight="1" x14ac:dyDescent="0.3">
      <c r="A6" s="26"/>
      <c r="B6" s="27"/>
      <c r="C6" s="26"/>
      <c r="I6" s="109" t="s">
        <v>146</v>
      </c>
      <c r="J6" s="87"/>
      <c r="L6" s="135" t="s">
        <v>155</v>
      </c>
      <c r="M6" s="82"/>
      <c r="N6" s="97" t="s">
        <v>177</v>
      </c>
      <c r="P6" s="105" t="s">
        <v>139</v>
      </c>
    </row>
    <row r="7" spans="1:16" ht="21.75" customHeight="1" x14ac:dyDescent="0.25">
      <c r="I7" t="s">
        <v>147</v>
      </c>
      <c r="J7" s="88"/>
      <c r="L7" s="135" t="s">
        <v>156</v>
      </c>
      <c r="M7" s="82"/>
      <c r="N7" s="97" t="s">
        <v>178</v>
      </c>
      <c r="P7" s="105" t="s">
        <v>135</v>
      </c>
    </row>
    <row r="8" spans="1:16" ht="21.75" customHeight="1" x14ac:dyDescent="0.25">
      <c r="J8" s="88"/>
      <c r="L8" s="135"/>
      <c r="M8" s="82"/>
      <c r="N8" s="97" t="s">
        <v>133</v>
      </c>
      <c r="P8" s="105" t="s">
        <v>148</v>
      </c>
    </row>
    <row r="9" spans="1:16" ht="21.75" customHeight="1" x14ac:dyDescent="0.25">
      <c r="J9" s="88"/>
      <c r="L9" s="135"/>
      <c r="M9" s="82"/>
      <c r="N9" s="97" t="s">
        <v>132</v>
      </c>
      <c r="P9" s="105" t="s">
        <v>151</v>
      </c>
    </row>
    <row r="10" spans="1:16" ht="23.25" x14ac:dyDescent="0.35">
      <c r="A10" s="3" t="s">
        <v>29</v>
      </c>
      <c r="C10" s="4"/>
      <c r="D10" s="4" t="s">
        <v>2</v>
      </c>
      <c r="E10" s="4"/>
      <c r="F10" s="4"/>
      <c r="G10" s="4" t="s">
        <v>5</v>
      </c>
      <c r="H10" s="4"/>
      <c r="I10" s="5">
        <v>2017</v>
      </c>
      <c r="J10" s="89">
        <v>2018</v>
      </c>
      <c r="L10" s="135"/>
      <c r="M10" s="83"/>
      <c r="N10" s="97" t="s">
        <v>150</v>
      </c>
      <c r="P10" s="105"/>
    </row>
    <row r="11" spans="1:16" x14ac:dyDescent="0.25">
      <c r="A11" t="s">
        <v>175</v>
      </c>
      <c r="C11" s="4" t="s">
        <v>1</v>
      </c>
      <c r="D11" s="4" t="s">
        <v>7</v>
      </c>
      <c r="E11" s="4" t="s">
        <v>3</v>
      </c>
      <c r="F11" s="4" t="s">
        <v>4</v>
      </c>
      <c r="G11" s="4" t="s">
        <v>6</v>
      </c>
      <c r="H11" s="4" t="s">
        <v>10</v>
      </c>
      <c r="I11" s="5" t="s">
        <v>8</v>
      </c>
      <c r="J11" s="90" t="s">
        <v>11</v>
      </c>
      <c r="L11" s="135"/>
      <c r="M11" s="83"/>
      <c r="N11" s="97"/>
      <c r="P11" s="106"/>
    </row>
    <row r="12" spans="1:16" x14ac:dyDescent="0.25">
      <c r="A12" t="s">
        <v>82</v>
      </c>
      <c r="C12" s="1">
        <v>99048</v>
      </c>
      <c r="D12" s="1">
        <v>89786</v>
      </c>
      <c r="E12" s="1">
        <v>149449</v>
      </c>
      <c r="F12" s="1">
        <v>189150</v>
      </c>
      <c r="G12" s="1">
        <v>119599</v>
      </c>
      <c r="H12" s="1">
        <v>32833</v>
      </c>
      <c r="I12" s="6">
        <f>SUM(C12:H12)</f>
        <v>679865</v>
      </c>
      <c r="J12" s="88"/>
      <c r="L12" s="128"/>
      <c r="M12" s="83"/>
      <c r="N12" s="98"/>
      <c r="P12" s="106"/>
    </row>
    <row r="13" spans="1:16" x14ac:dyDescent="0.25">
      <c r="A13" t="s">
        <v>87</v>
      </c>
      <c r="C13">
        <v>0.03</v>
      </c>
      <c r="D13">
        <v>0.03</v>
      </c>
      <c r="E13">
        <v>0.03</v>
      </c>
      <c r="F13">
        <v>0.05</v>
      </c>
      <c r="G13">
        <v>0.03</v>
      </c>
      <c r="H13">
        <v>0</v>
      </c>
      <c r="J13" s="88"/>
      <c r="L13" s="128"/>
      <c r="M13" s="83"/>
      <c r="N13" s="98"/>
      <c r="P13" s="106"/>
    </row>
    <row r="14" spans="1:16" x14ac:dyDescent="0.25">
      <c r="J14" s="88"/>
      <c r="L14" s="128"/>
      <c r="M14" s="83"/>
      <c r="N14" s="98"/>
      <c r="P14" s="106"/>
    </row>
    <row r="15" spans="1:16" ht="15.75" x14ac:dyDescent="0.25">
      <c r="A15" t="s">
        <v>83</v>
      </c>
      <c r="C15" s="13">
        <f>C12*1.03</f>
        <v>102019.44</v>
      </c>
      <c r="D15" s="13">
        <f>D12*1.03</f>
        <v>92479.58</v>
      </c>
      <c r="E15" s="13">
        <f>E12*1.03</f>
        <v>153932.47</v>
      </c>
      <c r="F15" s="13">
        <f>F12*1.03</f>
        <v>194824.5</v>
      </c>
      <c r="G15" s="13">
        <f>G12*1.03</f>
        <v>123186.97</v>
      </c>
      <c r="H15" s="13">
        <f>H12</f>
        <v>32833</v>
      </c>
      <c r="I15" s="1"/>
      <c r="J15" s="91">
        <f>SUM(C15:H15)</f>
        <v>699275.96</v>
      </c>
      <c r="L15" s="128">
        <f>J15</f>
        <v>699275.96</v>
      </c>
      <c r="M15" s="84"/>
      <c r="N15" s="98"/>
      <c r="P15" s="106"/>
    </row>
    <row r="16" spans="1:16" x14ac:dyDescent="0.25">
      <c r="A16" s="16" t="s">
        <v>84</v>
      </c>
      <c r="B16" s="16" t="s">
        <v>45</v>
      </c>
      <c r="C16" s="15">
        <f>1000*12*4</f>
        <v>48000</v>
      </c>
      <c r="D16" s="15">
        <f>1000*12*4</f>
        <v>48000</v>
      </c>
      <c r="E16" s="15">
        <f>1000*12*4</f>
        <v>48000</v>
      </c>
      <c r="F16" s="15">
        <f>1000*12*4</f>
        <v>48000</v>
      </c>
      <c r="G16" s="15">
        <f>1000*12*4</f>
        <v>48000</v>
      </c>
      <c r="H16" s="15"/>
      <c r="I16" s="15"/>
      <c r="J16" s="92">
        <f>SUM(C16:I16)</f>
        <v>240000</v>
      </c>
      <c r="L16" s="128"/>
      <c r="M16" s="83"/>
      <c r="N16" s="98"/>
      <c r="P16" s="106"/>
    </row>
    <row r="17" spans="1:16" x14ac:dyDescent="0.25">
      <c r="A17" s="16" t="s">
        <v>84</v>
      </c>
      <c r="B17" s="16" t="s">
        <v>46</v>
      </c>
      <c r="C17" s="15">
        <f>1500*12*1</f>
        <v>18000</v>
      </c>
      <c r="D17" s="15">
        <f>1500*12*1</f>
        <v>18000</v>
      </c>
      <c r="E17" s="15">
        <f>1500*12*1</f>
        <v>18000</v>
      </c>
      <c r="F17" s="15">
        <f>1500*12*1</f>
        <v>18000</v>
      </c>
      <c r="G17" s="15">
        <f>1500*12*1</f>
        <v>18000</v>
      </c>
      <c r="H17" s="15"/>
      <c r="I17" s="15"/>
      <c r="J17" s="93">
        <f>SUM(C17:G17)</f>
        <v>90000</v>
      </c>
      <c r="L17" s="128"/>
      <c r="M17" s="83"/>
      <c r="N17" s="98"/>
      <c r="P17" s="106"/>
    </row>
    <row r="18" spans="1:16" ht="15.75" x14ac:dyDescent="0.25">
      <c r="I18" s="5" t="s">
        <v>173</v>
      </c>
      <c r="J18" s="91">
        <f>SUM(J15:J17)</f>
        <v>1029275.96</v>
      </c>
      <c r="L18" s="128"/>
      <c r="M18" s="83"/>
      <c r="N18" s="99">
        <f>J18</f>
        <v>1029275.96</v>
      </c>
      <c r="O18" s="1"/>
      <c r="P18" s="107">
        <f>J18</f>
        <v>1029275.96</v>
      </c>
    </row>
    <row r="19" spans="1:16" x14ac:dyDescent="0.25">
      <c r="F19" s="23" t="s">
        <v>87</v>
      </c>
      <c r="I19" s="5"/>
      <c r="J19" s="88"/>
      <c r="L19" s="128"/>
      <c r="M19" s="83"/>
      <c r="N19" s="98"/>
      <c r="P19" s="106"/>
    </row>
    <row r="20" spans="1:16" x14ac:dyDescent="0.25">
      <c r="F20" s="23"/>
      <c r="I20" s="5"/>
      <c r="J20" s="88"/>
      <c r="L20" s="128"/>
      <c r="M20" s="83"/>
      <c r="N20" s="98"/>
      <c r="P20" s="106"/>
    </row>
    <row r="21" spans="1:16" x14ac:dyDescent="0.25">
      <c r="A21" t="s">
        <v>86</v>
      </c>
      <c r="F21" s="23"/>
      <c r="G21" s="1">
        <v>346960</v>
      </c>
      <c r="I21" s="5"/>
      <c r="J21" s="88"/>
      <c r="L21" s="128"/>
      <c r="M21" s="83"/>
      <c r="N21" s="98"/>
      <c r="P21" s="106"/>
    </row>
    <row r="22" spans="1:16" x14ac:dyDescent="0.25">
      <c r="A22" t="s">
        <v>9</v>
      </c>
      <c r="E22" s="1">
        <v>175000</v>
      </c>
      <c r="F22" s="23">
        <v>0.03</v>
      </c>
      <c r="G22" s="22">
        <f>E22*0.03</f>
        <v>5250</v>
      </c>
      <c r="I22" s="5"/>
      <c r="J22" s="88"/>
      <c r="L22" s="128"/>
      <c r="M22" s="83"/>
      <c r="N22" s="98"/>
      <c r="P22" s="106"/>
    </row>
    <row r="23" spans="1:16" x14ac:dyDescent="0.25">
      <c r="F23" s="23"/>
      <c r="G23" s="1">
        <f>G22+G21</f>
        <v>352210</v>
      </c>
      <c r="I23" s="5"/>
      <c r="J23" s="88"/>
      <c r="L23" s="128">
        <f>G23</f>
        <v>352210</v>
      </c>
      <c r="M23" s="84"/>
      <c r="N23" s="98"/>
      <c r="P23" s="106"/>
    </row>
    <row r="24" spans="1:16" x14ac:dyDescent="0.25">
      <c r="A24" s="16" t="s">
        <v>84</v>
      </c>
      <c r="B24" s="16" t="s">
        <v>47</v>
      </c>
      <c r="C24" s="16"/>
      <c r="D24" s="16"/>
      <c r="E24" s="16"/>
      <c r="F24" s="23"/>
      <c r="G24" s="15">
        <f>5000*7</f>
        <v>35000</v>
      </c>
      <c r="I24" s="5"/>
      <c r="J24" s="88"/>
      <c r="L24" s="128"/>
      <c r="M24" s="83"/>
      <c r="N24" s="98"/>
      <c r="P24" s="106"/>
    </row>
    <row r="25" spans="1:16" x14ac:dyDescent="0.25">
      <c r="A25" s="16" t="s">
        <v>85</v>
      </c>
      <c r="B25" s="16" t="s">
        <v>49</v>
      </c>
      <c r="C25" s="16"/>
      <c r="D25" s="16"/>
      <c r="E25" s="16"/>
      <c r="F25" s="23"/>
      <c r="G25" s="15">
        <v>11000</v>
      </c>
      <c r="I25" s="5"/>
      <c r="J25" s="88"/>
      <c r="L25" s="128"/>
      <c r="M25" s="83"/>
      <c r="N25" s="98"/>
      <c r="P25" s="106"/>
    </row>
    <row r="26" spans="1:16" x14ac:dyDescent="0.25">
      <c r="A26" s="16" t="s">
        <v>85</v>
      </c>
      <c r="B26" s="16" t="s">
        <v>124</v>
      </c>
      <c r="C26" s="16"/>
      <c r="D26" s="16"/>
      <c r="E26" s="16"/>
      <c r="F26" s="23"/>
      <c r="G26" s="15">
        <v>5000</v>
      </c>
      <c r="I26" s="5"/>
      <c r="J26" s="88"/>
      <c r="L26" s="128"/>
      <c r="M26" s="83"/>
      <c r="N26" s="98"/>
      <c r="P26" s="106"/>
    </row>
    <row r="27" spans="1:16" x14ac:dyDescent="0.25">
      <c r="A27" s="16" t="s">
        <v>85</v>
      </c>
      <c r="B27" s="16" t="s">
        <v>149</v>
      </c>
      <c r="C27" s="16"/>
      <c r="D27" s="16"/>
      <c r="E27" s="16"/>
      <c r="F27" s="23"/>
      <c r="G27" s="15">
        <v>60000</v>
      </c>
      <c r="I27" s="5"/>
      <c r="J27" s="88"/>
      <c r="L27" s="128"/>
      <c r="M27" s="83"/>
      <c r="N27" s="98"/>
      <c r="P27" s="106"/>
    </row>
    <row r="28" spans="1:16" x14ac:dyDescent="0.25">
      <c r="A28" s="16"/>
      <c r="B28" s="16"/>
      <c r="C28" s="16"/>
      <c r="D28" s="16"/>
      <c r="E28" s="16"/>
      <c r="F28" s="23"/>
      <c r="G28" s="15"/>
      <c r="I28" s="5"/>
      <c r="J28" s="88"/>
      <c r="L28" s="128"/>
      <c r="M28" s="83"/>
      <c r="N28" s="98"/>
      <c r="P28" s="106"/>
    </row>
    <row r="29" spans="1:16" x14ac:dyDescent="0.25">
      <c r="A29" s="16"/>
      <c r="B29" s="16"/>
      <c r="C29" s="16"/>
      <c r="D29" s="16"/>
      <c r="E29" s="16"/>
      <c r="F29" s="23"/>
      <c r="G29" s="15"/>
      <c r="I29" s="5"/>
      <c r="J29" s="88"/>
      <c r="L29" s="128"/>
      <c r="M29" s="83"/>
      <c r="N29" s="98"/>
      <c r="P29" s="106"/>
    </row>
    <row r="30" spans="1:16" x14ac:dyDescent="0.25">
      <c r="A30" s="16"/>
      <c r="B30" s="16"/>
      <c r="C30" s="16"/>
      <c r="D30" s="16"/>
      <c r="E30" s="16"/>
      <c r="F30" s="23"/>
      <c r="G30" s="15"/>
      <c r="I30" s="5"/>
      <c r="J30" s="88"/>
      <c r="L30" s="128"/>
      <c r="M30" s="83"/>
      <c r="N30" s="98"/>
      <c r="P30" s="106"/>
    </row>
    <row r="31" spans="1:16" ht="15.75" x14ac:dyDescent="0.25">
      <c r="F31" s="23"/>
      <c r="I31" s="5" t="s">
        <v>165</v>
      </c>
      <c r="J31" s="91">
        <f>SUM(G23:G27)</f>
        <v>463210</v>
      </c>
      <c r="L31" s="128"/>
      <c r="M31" s="83"/>
      <c r="N31" s="99">
        <f>J31</f>
        <v>463210</v>
      </c>
      <c r="P31" s="107">
        <f>J31</f>
        <v>463210</v>
      </c>
    </row>
    <row r="32" spans="1:16" x14ac:dyDescent="0.25">
      <c r="F32" s="23"/>
      <c r="I32" s="5"/>
      <c r="J32" s="94"/>
      <c r="L32" s="128"/>
      <c r="M32" s="83"/>
      <c r="N32" s="98"/>
      <c r="P32" s="106"/>
    </row>
    <row r="33" spans="1:18" ht="15.75" x14ac:dyDescent="0.25">
      <c r="A33" s="14" t="s">
        <v>16</v>
      </c>
      <c r="D33" s="19" t="s">
        <v>57</v>
      </c>
      <c r="E33" s="19"/>
      <c r="F33" s="24"/>
      <c r="G33" s="21" t="s">
        <v>56</v>
      </c>
      <c r="I33" s="5"/>
      <c r="J33" s="94"/>
      <c r="L33" s="128"/>
      <c r="M33" s="83"/>
      <c r="N33" s="98"/>
      <c r="P33" s="106"/>
    </row>
    <row r="34" spans="1:18" x14ac:dyDescent="0.25">
      <c r="B34" t="s">
        <v>12</v>
      </c>
      <c r="D34" s="16" t="s">
        <v>53</v>
      </c>
      <c r="E34" s="16"/>
      <c r="F34" s="23"/>
      <c r="G34" s="17">
        <f>SUM(E35:E37)</f>
        <v>665775</v>
      </c>
      <c r="I34" s="5"/>
      <c r="J34" s="94"/>
      <c r="L34" s="128">
        <f>G34</f>
        <v>665775</v>
      </c>
      <c r="M34" s="84"/>
      <c r="N34" s="98"/>
      <c r="P34" s="106"/>
      <c r="Q34" s="23"/>
      <c r="R34" s="17"/>
    </row>
    <row r="35" spans="1:18" x14ac:dyDescent="0.25">
      <c r="B35" t="s">
        <v>9</v>
      </c>
      <c r="D35" s="16" t="s">
        <v>50</v>
      </c>
      <c r="E35" s="15">
        <f>598800-323800</f>
        <v>275000</v>
      </c>
      <c r="F35" s="23">
        <v>0.03</v>
      </c>
      <c r="G35" s="17">
        <f>E35*F35</f>
        <v>8250</v>
      </c>
      <c r="I35" s="5"/>
      <c r="J35" s="94"/>
      <c r="L35" s="128">
        <f>G35</f>
        <v>8250</v>
      </c>
      <c r="M35" s="83"/>
      <c r="N35" s="98"/>
      <c r="P35" s="106"/>
    </row>
    <row r="36" spans="1:18" x14ac:dyDescent="0.25">
      <c r="D36" s="16" t="s">
        <v>51</v>
      </c>
      <c r="E36" s="15">
        <f>111540-40000</f>
        <v>71540</v>
      </c>
      <c r="F36" s="23"/>
      <c r="G36" s="17"/>
      <c r="I36" s="5"/>
      <c r="J36" s="94"/>
      <c r="L36" s="128"/>
      <c r="M36" s="83"/>
      <c r="N36" s="98"/>
      <c r="P36" s="106"/>
    </row>
    <row r="37" spans="1:18" x14ac:dyDescent="0.25">
      <c r="D37" s="16" t="s">
        <v>55</v>
      </c>
      <c r="E37" s="15">
        <v>319235</v>
      </c>
      <c r="F37" s="23"/>
      <c r="G37" s="17"/>
      <c r="I37" s="5"/>
      <c r="J37" s="94"/>
      <c r="L37" s="128"/>
      <c r="M37" s="83"/>
      <c r="N37" s="98"/>
      <c r="P37" s="106"/>
    </row>
    <row r="38" spans="1:18" x14ac:dyDescent="0.25">
      <c r="A38" s="16" t="s">
        <v>85</v>
      </c>
      <c r="D38" s="16" t="s">
        <v>88</v>
      </c>
      <c r="F38" s="23"/>
      <c r="G38" s="25">
        <f>(12000+6200)*1.2</f>
        <v>21840</v>
      </c>
      <c r="I38" s="5"/>
      <c r="J38" s="94"/>
      <c r="L38" s="128"/>
      <c r="M38" s="83"/>
      <c r="N38" s="98"/>
      <c r="P38" s="106"/>
    </row>
    <row r="39" spans="1:18" x14ac:dyDescent="0.25">
      <c r="A39" s="16" t="s">
        <v>181</v>
      </c>
      <c r="D39" s="16"/>
      <c r="F39" s="23"/>
      <c r="G39" s="25"/>
      <c r="I39" s="5"/>
      <c r="J39" s="94"/>
      <c r="L39" s="133">
        <v>-51815.03</v>
      </c>
      <c r="M39" s="83"/>
      <c r="N39" s="98"/>
      <c r="P39" s="106"/>
    </row>
    <row r="40" spans="1:18" ht="15.75" x14ac:dyDescent="0.25">
      <c r="D40" s="16"/>
      <c r="E40" s="15"/>
      <c r="F40" s="23"/>
      <c r="G40" s="17" t="s">
        <v>73</v>
      </c>
      <c r="I40" s="5" t="s">
        <v>166</v>
      </c>
      <c r="J40" s="91">
        <f>SUM(G34:G38)</f>
        <v>695865</v>
      </c>
      <c r="L40" s="128"/>
      <c r="M40" s="83"/>
      <c r="N40" s="99">
        <f>J40</f>
        <v>695865</v>
      </c>
      <c r="P40" s="107">
        <f>J40</f>
        <v>695865</v>
      </c>
    </row>
    <row r="41" spans="1:18" x14ac:dyDescent="0.25">
      <c r="D41" s="16"/>
      <c r="E41" s="15"/>
      <c r="F41" s="23"/>
      <c r="G41" s="18"/>
      <c r="I41" s="5"/>
      <c r="J41" s="88"/>
      <c r="L41" s="128"/>
      <c r="M41" s="83"/>
      <c r="N41" s="98"/>
      <c r="P41" s="106"/>
    </row>
    <row r="42" spans="1:18" x14ac:dyDescent="0.25">
      <c r="D42" s="16"/>
      <c r="E42" s="15"/>
      <c r="F42" s="23"/>
      <c r="G42" s="17"/>
      <c r="I42" s="5"/>
      <c r="J42" s="94"/>
      <c r="L42" s="128"/>
      <c r="M42" s="83"/>
      <c r="N42" s="98"/>
      <c r="P42" s="106"/>
    </row>
    <row r="43" spans="1:18" x14ac:dyDescent="0.25">
      <c r="B43" t="s">
        <v>13</v>
      </c>
      <c r="D43" s="16" t="s">
        <v>53</v>
      </c>
      <c r="E43" s="15"/>
      <c r="F43" s="23"/>
      <c r="G43" s="17">
        <f>SUM(E44:E47)</f>
        <v>4000555.4</v>
      </c>
      <c r="H43" s="7" t="s">
        <v>17</v>
      </c>
      <c r="I43" s="5"/>
      <c r="J43" s="94"/>
      <c r="L43" s="128">
        <f>G43</f>
        <v>4000555.4</v>
      </c>
      <c r="M43" s="84"/>
      <c r="N43" s="98"/>
      <c r="P43" s="106"/>
    </row>
    <row r="44" spans="1:18" x14ac:dyDescent="0.25">
      <c r="B44" t="s">
        <v>9</v>
      </c>
      <c r="D44" s="16" t="s">
        <v>50</v>
      </c>
      <c r="E44" s="15">
        <f>3985019*0.6</f>
        <v>2391011.4</v>
      </c>
      <c r="F44" s="23">
        <v>0.03</v>
      </c>
      <c r="G44" s="17">
        <f>E44*F44</f>
        <v>71730.34199999999</v>
      </c>
      <c r="I44" s="5"/>
      <c r="J44" s="94"/>
      <c r="L44" s="128">
        <f>G44</f>
        <v>71730.34199999999</v>
      </c>
      <c r="M44" s="83"/>
      <c r="N44" s="98"/>
      <c r="P44" s="106"/>
    </row>
    <row r="45" spans="1:18" x14ac:dyDescent="0.25">
      <c r="D45" s="16" t="s">
        <v>51</v>
      </c>
      <c r="E45" s="15">
        <f>899240*0.6</f>
        <v>539544</v>
      </c>
      <c r="F45" s="23"/>
      <c r="G45" s="18"/>
      <c r="I45" s="5"/>
      <c r="J45" s="88"/>
      <c r="L45" s="128"/>
      <c r="M45" s="83"/>
      <c r="N45" s="98"/>
      <c r="P45" s="106"/>
    </row>
    <row r="46" spans="1:18" ht="15.75" x14ac:dyDescent="0.25">
      <c r="D46" s="16" t="s">
        <v>52</v>
      </c>
      <c r="E46" s="15">
        <v>90000</v>
      </c>
      <c r="F46" s="23"/>
      <c r="G46" s="18"/>
      <c r="I46" s="5"/>
      <c r="J46" s="91"/>
      <c r="L46" s="128"/>
      <c r="M46" s="83"/>
      <c r="N46" s="98"/>
      <c r="P46" s="106"/>
    </row>
    <row r="47" spans="1:18" ht="15.75" x14ac:dyDescent="0.25">
      <c r="D47" s="16" t="s">
        <v>55</v>
      </c>
      <c r="E47" s="15">
        <v>980000</v>
      </c>
      <c r="F47" s="23"/>
      <c r="G47" s="18"/>
      <c r="I47" s="5"/>
      <c r="J47" s="91"/>
      <c r="L47" s="128"/>
      <c r="M47" s="83"/>
      <c r="N47" s="98"/>
      <c r="P47" s="106"/>
    </row>
    <row r="48" spans="1:18" ht="15.75" x14ac:dyDescent="0.25">
      <c r="D48" s="16" t="s">
        <v>70</v>
      </c>
      <c r="E48" s="15"/>
      <c r="F48" s="23"/>
      <c r="G48" s="17">
        <f>450000*0.6</f>
        <v>270000</v>
      </c>
      <c r="I48" s="5"/>
      <c r="J48" s="91"/>
      <c r="L48" s="128">
        <f>G48</f>
        <v>270000</v>
      </c>
      <c r="M48" s="84"/>
      <c r="N48" s="98"/>
      <c r="P48" s="106"/>
    </row>
    <row r="49" spans="1:16" ht="15.75" x14ac:dyDescent="0.25">
      <c r="A49" s="16" t="s">
        <v>85</v>
      </c>
      <c r="D49" s="16" t="s">
        <v>89</v>
      </c>
      <c r="E49" s="15"/>
      <c r="F49" s="23"/>
      <c r="G49" s="17">
        <f>75000+15000</f>
        <v>90000</v>
      </c>
      <c r="I49" s="5"/>
      <c r="J49" s="91"/>
      <c r="L49" s="128"/>
      <c r="M49" s="83"/>
      <c r="N49" s="98"/>
      <c r="P49" s="106"/>
    </row>
    <row r="50" spans="1:16" ht="15.75" x14ac:dyDescent="0.25">
      <c r="A50" s="16" t="s">
        <v>85</v>
      </c>
      <c r="D50" s="16" t="s">
        <v>90</v>
      </c>
      <c r="E50" s="15"/>
      <c r="F50" s="23"/>
      <c r="G50" s="17">
        <f>65000+15000</f>
        <v>80000</v>
      </c>
      <c r="I50" s="5"/>
      <c r="J50" s="91"/>
      <c r="L50" s="128"/>
      <c r="M50" s="83"/>
      <c r="N50" s="98"/>
      <c r="P50" s="106"/>
    </row>
    <row r="51" spans="1:16" ht="15.75" x14ac:dyDescent="0.25">
      <c r="A51" s="16" t="s">
        <v>85</v>
      </c>
      <c r="D51" s="16" t="s">
        <v>174</v>
      </c>
      <c r="E51" s="15"/>
      <c r="F51" s="23"/>
      <c r="G51" s="17">
        <v>75000</v>
      </c>
      <c r="I51" s="5"/>
      <c r="J51" s="91"/>
      <c r="L51" s="128"/>
      <c r="M51" s="83"/>
      <c r="N51" s="98"/>
      <c r="P51" s="106"/>
    </row>
    <row r="52" spans="1:16" ht="15.75" x14ac:dyDescent="0.25">
      <c r="A52" s="16" t="s">
        <v>181</v>
      </c>
      <c r="D52" s="16"/>
      <c r="E52" s="15"/>
      <c r="F52" s="23"/>
      <c r="G52" s="17"/>
      <c r="I52" s="5"/>
      <c r="J52" s="91"/>
      <c r="L52" s="133">
        <v>-290669.28999999998</v>
      </c>
      <c r="M52" s="83"/>
      <c r="N52" s="98"/>
      <c r="P52" s="106"/>
    </row>
    <row r="53" spans="1:16" ht="15.75" x14ac:dyDescent="0.25">
      <c r="D53" s="16"/>
      <c r="E53" s="15"/>
      <c r="F53" s="23"/>
      <c r="G53" s="17" t="s">
        <v>73</v>
      </c>
      <c r="I53" s="5" t="s">
        <v>167</v>
      </c>
      <c r="J53" s="91">
        <f>SUM(G43:G51)</f>
        <v>4587285.7420000006</v>
      </c>
      <c r="L53" s="128"/>
      <c r="M53" s="83"/>
      <c r="N53" s="99">
        <f>J53</f>
        <v>4587285.7420000006</v>
      </c>
      <c r="P53" s="107">
        <f>J53</f>
        <v>4587285.7420000006</v>
      </c>
    </row>
    <row r="54" spans="1:16" ht="15.75" x14ac:dyDescent="0.25">
      <c r="D54" s="16"/>
      <c r="E54" s="15"/>
      <c r="F54" s="23"/>
      <c r="G54" s="17"/>
      <c r="I54" s="5"/>
      <c r="J54" s="91"/>
      <c r="L54" s="128"/>
      <c r="M54" s="83"/>
      <c r="N54" s="99"/>
      <c r="P54" s="107"/>
    </row>
    <row r="55" spans="1:16" ht="15.75" x14ac:dyDescent="0.25">
      <c r="D55" s="16"/>
      <c r="E55" s="15"/>
      <c r="F55" s="23"/>
      <c r="G55" s="17"/>
      <c r="I55" s="5"/>
      <c r="J55" s="91"/>
      <c r="L55" s="128"/>
      <c r="M55" s="83"/>
      <c r="N55" s="98"/>
      <c r="P55" s="106"/>
    </row>
    <row r="56" spans="1:16" x14ac:dyDescent="0.25">
      <c r="B56" t="s">
        <v>15</v>
      </c>
      <c r="D56" s="16"/>
      <c r="E56" s="15"/>
      <c r="F56" s="23"/>
      <c r="G56" s="17">
        <v>790863</v>
      </c>
      <c r="I56" s="5"/>
      <c r="J56" s="94"/>
      <c r="L56" s="128"/>
      <c r="M56" s="83"/>
      <c r="N56" s="98"/>
      <c r="P56" s="106"/>
    </row>
    <row r="57" spans="1:16" x14ac:dyDescent="0.25">
      <c r="C57" t="s">
        <v>18</v>
      </c>
      <c r="D57" s="16"/>
      <c r="E57" s="15"/>
      <c r="F57" s="23">
        <v>0.05</v>
      </c>
      <c r="G57" s="17">
        <f>+G56*F57</f>
        <v>39543.15</v>
      </c>
      <c r="I57" s="5"/>
      <c r="J57" s="88"/>
      <c r="L57" s="128"/>
      <c r="M57" s="83"/>
      <c r="N57" s="98"/>
      <c r="P57" s="106"/>
    </row>
    <row r="58" spans="1:16" x14ac:dyDescent="0.25">
      <c r="A58" s="16" t="s">
        <v>181</v>
      </c>
      <c r="D58" s="16"/>
      <c r="E58" s="15"/>
      <c r="F58" s="23"/>
      <c r="G58" s="17"/>
      <c r="I58" s="5"/>
      <c r="J58" s="88"/>
      <c r="L58" s="133">
        <v>-53828.97</v>
      </c>
      <c r="M58" s="83"/>
      <c r="N58" s="98"/>
      <c r="P58" s="106"/>
    </row>
    <row r="59" spans="1:16" ht="15.75" x14ac:dyDescent="0.25">
      <c r="D59" s="16"/>
      <c r="E59" s="15"/>
      <c r="F59" s="23"/>
      <c r="G59" s="17" t="s">
        <v>73</v>
      </c>
      <c r="I59" s="5" t="s">
        <v>15</v>
      </c>
      <c r="J59" s="91">
        <f>SUM(G56:G57)</f>
        <v>830406.15</v>
      </c>
      <c r="L59" s="128">
        <f>J59</f>
        <v>830406.15</v>
      </c>
      <c r="M59" s="84"/>
      <c r="N59" s="99">
        <f>J59</f>
        <v>830406.15</v>
      </c>
      <c r="P59" s="107">
        <f>J59</f>
        <v>830406.15</v>
      </c>
    </row>
    <row r="60" spans="1:16" ht="15.75" x14ac:dyDescent="0.25">
      <c r="D60" s="16"/>
      <c r="E60" s="15"/>
      <c r="F60" s="23"/>
      <c r="G60" s="17"/>
      <c r="I60" s="5"/>
      <c r="J60" s="91"/>
      <c r="L60" s="128"/>
      <c r="M60" s="84"/>
      <c r="N60" s="98"/>
      <c r="P60" s="107"/>
    </row>
    <row r="61" spans="1:16" x14ac:dyDescent="0.25">
      <c r="D61" s="16"/>
      <c r="E61" s="15"/>
      <c r="F61" s="23"/>
      <c r="G61" s="17"/>
      <c r="I61" s="5"/>
      <c r="J61" s="88"/>
      <c r="L61" s="128"/>
      <c r="M61" s="83"/>
      <c r="N61" s="98"/>
      <c r="P61" s="106"/>
    </row>
    <row r="62" spans="1:16" x14ac:dyDescent="0.25">
      <c r="B62" t="s">
        <v>19</v>
      </c>
      <c r="D62" s="16" t="s">
        <v>53</v>
      </c>
      <c r="E62" s="15"/>
      <c r="F62" s="23"/>
      <c r="G62" s="17">
        <f>SUM(E63:E66)</f>
        <v>8838381.5820000004</v>
      </c>
      <c r="H62" s="7" t="s">
        <v>17</v>
      </c>
      <c r="I62" s="5"/>
      <c r="J62" s="88"/>
      <c r="L62" s="128">
        <f>G62</f>
        <v>8838381.5820000004</v>
      </c>
      <c r="M62" s="84"/>
      <c r="N62" s="99">
        <f>G62</f>
        <v>8838381.5820000004</v>
      </c>
      <c r="P62" s="106"/>
    </row>
    <row r="63" spans="1:16" x14ac:dyDescent="0.25">
      <c r="B63" t="s">
        <v>9</v>
      </c>
      <c r="D63" s="16" t="s">
        <v>50</v>
      </c>
      <c r="E63" s="15">
        <f>9346086*0.342</f>
        <v>3196361.4120000005</v>
      </c>
      <c r="F63" s="23">
        <v>0.03</v>
      </c>
      <c r="G63" s="17">
        <f>E63*0.03</f>
        <v>95890.84236000001</v>
      </c>
      <c r="H63" s="1"/>
      <c r="I63" s="5"/>
      <c r="J63" s="88"/>
      <c r="L63" s="128">
        <f>G63</f>
        <v>95890.84236000001</v>
      </c>
      <c r="M63" s="83"/>
      <c r="N63" s="99">
        <f>G63</f>
        <v>95890.84236000001</v>
      </c>
      <c r="P63" s="106"/>
    </row>
    <row r="64" spans="1:16" x14ac:dyDescent="0.25">
      <c r="A64" t="s">
        <v>44</v>
      </c>
      <c r="B64" t="s">
        <v>20</v>
      </c>
      <c r="D64" s="16" t="s">
        <v>51</v>
      </c>
      <c r="E64" s="15">
        <f>14965189*0.342</f>
        <v>5118094.6380000003</v>
      </c>
      <c r="F64" s="23"/>
      <c r="G64" s="17">
        <v>4000000</v>
      </c>
      <c r="H64" s="20" t="s">
        <v>60</v>
      </c>
      <c r="I64" s="5"/>
      <c r="J64" s="88"/>
      <c r="L64" s="128"/>
      <c r="M64" s="83"/>
      <c r="N64" s="99">
        <f>G64*0.15</f>
        <v>600000</v>
      </c>
      <c r="P64" s="107">
        <f>20995196-4000000</f>
        <v>16995196</v>
      </c>
    </row>
    <row r="65" spans="1:18" x14ac:dyDescent="0.25">
      <c r="D65" s="16" t="s">
        <v>55</v>
      </c>
      <c r="E65" s="15">
        <f>1356496*0.342</f>
        <v>463921.63200000004</v>
      </c>
      <c r="F65" s="23"/>
      <c r="G65" s="17"/>
      <c r="H65" s="20"/>
      <c r="I65" s="5"/>
      <c r="J65" s="88"/>
      <c r="L65" s="128"/>
      <c r="M65" s="83"/>
      <c r="N65" s="98"/>
      <c r="P65" s="106"/>
    </row>
    <row r="66" spans="1:18" x14ac:dyDescent="0.25">
      <c r="D66" s="16" t="s">
        <v>79</v>
      </c>
      <c r="E66" s="15">
        <f>175450*0.342</f>
        <v>60003.9</v>
      </c>
      <c r="F66" s="23"/>
      <c r="G66" s="17"/>
      <c r="H66" s="20"/>
      <c r="I66" s="5"/>
      <c r="J66" s="88"/>
      <c r="L66" s="128"/>
      <c r="M66" s="83"/>
      <c r="N66" s="98"/>
      <c r="P66" s="106"/>
    </row>
    <row r="67" spans="1:18" x14ac:dyDescent="0.25">
      <c r="A67" s="16" t="s">
        <v>181</v>
      </c>
      <c r="D67" s="16"/>
      <c r="E67" s="15"/>
      <c r="F67" s="23"/>
      <c r="G67" s="17"/>
      <c r="H67" s="20"/>
      <c r="I67" s="5"/>
      <c r="J67" s="88"/>
      <c r="L67" s="133">
        <v>-608098.59</v>
      </c>
      <c r="M67" s="83"/>
      <c r="N67" s="98"/>
      <c r="P67" s="106"/>
    </row>
    <row r="68" spans="1:18" ht="15.75" x14ac:dyDescent="0.25">
      <c r="E68" s="15"/>
      <c r="F68" s="23"/>
      <c r="G68" s="17" t="s">
        <v>73</v>
      </c>
      <c r="H68" s="1"/>
      <c r="I68" s="5" t="s">
        <v>169</v>
      </c>
      <c r="J68" s="91">
        <f>SUM(G62:G64)</f>
        <v>12934272.42436</v>
      </c>
      <c r="L68" s="128"/>
      <c r="M68" s="83"/>
      <c r="N68" s="98"/>
      <c r="P68" s="107">
        <f>J68</f>
        <v>12934272.42436</v>
      </c>
    </row>
    <row r="69" spans="1:18" ht="15.75" x14ac:dyDescent="0.25">
      <c r="D69" s="16"/>
      <c r="E69" s="15"/>
      <c r="F69" s="23"/>
      <c r="G69" s="18"/>
      <c r="H69" s="1"/>
      <c r="I69" s="5"/>
      <c r="J69" s="91"/>
      <c r="L69" s="128"/>
      <c r="M69" s="83"/>
      <c r="N69" s="98"/>
      <c r="P69" s="106"/>
    </row>
    <row r="70" spans="1:18" x14ac:dyDescent="0.25">
      <c r="D70" s="16"/>
      <c r="E70" s="15"/>
      <c r="F70" s="23"/>
      <c r="G70" s="17"/>
      <c r="I70" s="5"/>
      <c r="J70" s="88"/>
      <c r="L70" s="128"/>
      <c r="M70" s="83"/>
      <c r="N70" s="98"/>
      <c r="P70" s="106"/>
    </row>
    <row r="71" spans="1:18" x14ac:dyDescent="0.25">
      <c r="D71" s="16"/>
      <c r="E71" s="15"/>
      <c r="F71" s="23"/>
      <c r="G71" s="17"/>
      <c r="I71" s="5"/>
      <c r="J71" s="88"/>
      <c r="L71" s="128"/>
      <c r="M71" s="83"/>
      <c r="N71" s="98"/>
      <c r="P71" s="106"/>
    </row>
    <row r="72" spans="1:18" x14ac:dyDescent="0.25">
      <c r="B72" t="s">
        <v>14</v>
      </c>
      <c r="D72" s="16" t="s">
        <v>53</v>
      </c>
      <c r="E72" s="15"/>
      <c r="F72" s="23"/>
      <c r="G72" s="17">
        <f>SUM(E73:E75)</f>
        <v>3851956.8000000003</v>
      </c>
      <c r="H72" s="7" t="s">
        <v>17</v>
      </c>
      <c r="I72" s="5"/>
      <c r="J72" s="88"/>
      <c r="L72" s="128">
        <f>G72</f>
        <v>3851956.8000000003</v>
      </c>
      <c r="M72" s="84"/>
      <c r="N72" s="99">
        <f>G72</f>
        <v>3851956.8000000003</v>
      </c>
      <c r="P72" s="106"/>
    </row>
    <row r="73" spans="1:18" x14ac:dyDescent="0.25">
      <c r="B73" t="s">
        <v>9</v>
      </c>
      <c r="D73" s="16" t="s">
        <v>50</v>
      </c>
      <c r="E73" s="15">
        <f>1965467*0.6</f>
        <v>1179280.2</v>
      </c>
      <c r="F73" s="23">
        <v>0.03</v>
      </c>
      <c r="G73" s="17">
        <f>E73*F73</f>
        <v>35378.405999999995</v>
      </c>
      <c r="I73" s="5"/>
      <c r="J73" s="88"/>
      <c r="L73" s="128">
        <f>G73</f>
        <v>35378.405999999995</v>
      </c>
      <c r="M73" s="83"/>
      <c r="N73" s="99">
        <f>G73</f>
        <v>35378.405999999995</v>
      </c>
      <c r="P73" s="106"/>
    </row>
    <row r="74" spans="1:18" x14ac:dyDescent="0.25">
      <c r="A74" t="s">
        <v>44</v>
      </c>
      <c r="B74" t="s">
        <v>26</v>
      </c>
      <c r="D74" s="16" t="s">
        <v>51</v>
      </c>
      <c r="E74" s="15">
        <f>(2151367*0.6)+1200000</f>
        <v>2490820.2000000002</v>
      </c>
      <c r="F74" s="23"/>
      <c r="G74" s="17">
        <v>1800000</v>
      </c>
      <c r="H74" s="7" t="s">
        <v>61</v>
      </c>
      <c r="I74" s="5"/>
      <c r="J74" s="88"/>
      <c r="L74" s="128"/>
      <c r="M74" s="83"/>
      <c r="N74" s="99">
        <f>G74*0.1</f>
        <v>180000</v>
      </c>
      <c r="P74" s="106"/>
      <c r="R74" t="s">
        <v>183</v>
      </c>
    </row>
    <row r="75" spans="1:18" x14ac:dyDescent="0.25">
      <c r="D75" s="16" t="s">
        <v>62</v>
      </c>
      <c r="E75" s="15">
        <f>303094*0.6</f>
        <v>181856.4</v>
      </c>
      <c r="F75" s="23"/>
      <c r="G75" s="18"/>
      <c r="I75" s="5"/>
      <c r="J75" s="88"/>
      <c r="L75" s="128"/>
      <c r="M75" s="83"/>
      <c r="N75" s="98"/>
      <c r="P75" s="106"/>
      <c r="R75" t="s">
        <v>184</v>
      </c>
    </row>
    <row r="76" spans="1:18" x14ac:dyDescent="0.25">
      <c r="D76" s="16" t="s">
        <v>180</v>
      </c>
      <c r="E76" s="15"/>
      <c r="F76" s="23"/>
      <c r="G76" s="17">
        <v>200000</v>
      </c>
      <c r="I76" s="5"/>
      <c r="J76" s="88"/>
      <c r="L76" s="128">
        <f>G76</f>
        <v>200000</v>
      </c>
      <c r="M76" s="84"/>
      <c r="N76" s="99">
        <f>G76</f>
        <v>200000</v>
      </c>
      <c r="P76" s="106"/>
      <c r="R76" t="s">
        <v>185</v>
      </c>
    </row>
    <row r="77" spans="1:18" x14ac:dyDescent="0.25">
      <c r="D77" s="16" t="s">
        <v>70</v>
      </c>
      <c r="E77" s="15"/>
      <c r="F77" s="23" t="s">
        <v>76</v>
      </c>
      <c r="G77" s="17">
        <v>75000</v>
      </c>
      <c r="I77" s="5"/>
      <c r="J77" s="88"/>
      <c r="L77" s="128">
        <f>G77</f>
        <v>75000</v>
      </c>
      <c r="M77" s="84"/>
      <c r="N77" s="99">
        <f>G77</f>
        <v>75000</v>
      </c>
      <c r="P77" s="106"/>
      <c r="R77" t="s">
        <v>186</v>
      </c>
    </row>
    <row r="78" spans="1:18" x14ac:dyDescent="0.25">
      <c r="D78" s="16" t="s">
        <v>72</v>
      </c>
      <c r="E78" s="15"/>
      <c r="F78" s="23" t="s">
        <v>77</v>
      </c>
      <c r="G78" s="17">
        <v>54000</v>
      </c>
      <c r="I78" s="5"/>
      <c r="J78" s="88"/>
      <c r="L78" s="128">
        <f>G78</f>
        <v>54000</v>
      </c>
      <c r="M78" s="84"/>
      <c r="N78" s="99">
        <f>G78</f>
        <v>54000</v>
      </c>
      <c r="P78" s="106"/>
    </row>
    <row r="79" spans="1:18" x14ac:dyDescent="0.25">
      <c r="A79" s="16" t="s">
        <v>181</v>
      </c>
      <c r="D79" s="16"/>
      <c r="E79" s="15"/>
      <c r="F79" s="23"/>
      <c r="G79" s="17"/>
      <c r="I79" s="5"/>
      <c r="J79" s="88"/>
      <c r="L79" s="133">
        <v>-270958.21000000002</v>
      </c>
      <c r="M79" s="84"/>
      <c r="N79" s="99"/>
      <c r="P79" s="106"/>
    </row>
    <row r="80" spans="1:18" ht="15.75" x14ac:dyDescent="0.25">
      <c r="D80" s="16"/>
      <c r="E80" s="15"/>
      <c r="F80" s="23"/>
      <c r="G80" s="17" t="s">
        <v>73</v>
      </c>
      <c r="I80" s="5" t="s">
        <v>168</v>
      </c>
      <c r="J80" s="91">
        <f>SUM(G72:G78)</f>
        <v>6016335.2060000002</v>
      </c>
      <c r="L80" s="128"/>
      <c r="M80" s="83"/>
      <c r="N80" s="98"/>
      <c r="P80" s="107">
        <f>J80</f>
        <v>6016335.2060000002</v>
      </c>
    </row>
    <row r="81" spans="1:16" ht="15.75" x14ac:dyDescent="0.25">
      <c r="D81" s="16"/>
      <c r="E81" s="15"/>
      <c r="F81" s="23"/>
      <c r="G81" s="17"/>
      <c r="I81" s="5"/>
      <c r="J81" s="91"/>
      <c r="L81" s="128"/>
      <c r="M81" s="83"/>
      <c r="N81" s="98"/>
      <c r="P81" s="106"/>
    </row>
    <row r="82" spans="1:16" x14ac:dyDescent="0.25">
      <c r="B82" t="s">
        <v>21</v>
      </c>
      <c r="D82" s="16" t="s">
        <v>53</v>
      </c>
      <c r="E82" s="15"/>
      <c r="F82" s="23">
        <v>0</v>
      </c>
      <c r="G82" s="17">
        <f>SUM(E83:E85)</f>
        <v>340838</v>
      </c>
      <c r="H82" s="7"/>
      <c r="I82" s="5"/>
      <c r="J82" s="88"/>
      <c r="L82" s="128"/>
      <c r="M82" s="84"/>
      <c r="N82" s="98"/>
      <c r="P82" s="106"/>
    </row>
    <row r="83" spans="1:16" x14ac:dyDescent="0.25">
      <c r="D83" s="16" t="s">
        <v>50</v>
      </c>
      <c r="E83" s="15">
        <f>333640-132540</f>
        <v>201100</v>
      </c>
      <c r="F83" s="23"/>
      <c r="G83" s="17"/>
      <c r="H83" s="7"/>
      <c r="I83" s="5"/>
      <c r="J83" s="88"/>
      <c r="L83" s="128"/>
      <c r="M83" s="83"/>
      <c r="N83" s="98"/>
      <c r="P83" s="106"/>
    </row>
    <row r="84" spans="1:16" x14ac:dyDescent="0.25">
      <c r="D84" s="16" t="s">
        <v>51</v>
      </c>
      <c r="E84" s="15">
        <f>2261597-1714593-468048</f>
        <v>78956</v>
      </c>
      <c r="F84" s="23"/>
      <c r="G84" s="17"/>
      <c r="H84" s="7"/>
      <c r="I84" s="5"/>
      <c r="J84" s="88"/>
      <c r="L84" s="128"/>
      <c r="M84" s="83"/>
      <c r="N84" s="98"/>
      <c r="P84" s="106"/>
    </row>
    <row r="85" spans="1:16" x14ac:dyDescent="0.25">
      <c r="B85" t="s">
        <v>23</v>
      </c>
      <c r="D85" s="16" t="s">
        <v>62</v>
      </c>
      <c r="E85" s="15">
        <v>60782</v>
      </c>
      <c r="F85" s="23"/>
      <c r="G85" s="17"/>
      <c r="I85" s="5"/>
      <c r="J85" s="88"/>
      <c r="L85" s="128"/>
      <c r="M85" s="83"/>
      <c r="N85" s="98"/>
      <c r="P85" s="106"/>
    </row>
    <row r="86" spans="1:16" ht="15.75" x14ac:dyDescent="0.25">
      <c r="D86" s="16"/>
      <c r="E86" s="15"/>
      <c r="F86" s="23"/>
      <c r="G86" s="17" t="s">
        <v>73</v>
      </c>
      <c r="I86" s="5" t="s">
        <v>170</v>
      </c>
      <c r="J86" s="91">
        <f>SUM(G82:G85)</f>
        <v>340838</v>
      </c>
      <c r="L86" s="128">
        <f>J86</f>
        <v>340838</v>
      </c>
      <c r="M86" s="84"/>
      <c r="N86" s="99">
        <f>J86</f>
        <v>340838</v>
      </c>
      <c r="P86" s="107">
        <f>J86</f>
        <v>340838</v>
      </c>
    </row>
    <row r="87" spans="1:16" x14ac:dyDescent="0.25">
      <c r="D87" s="16"/>
      <c r="E87" s="15"/>
      <c r="F87" s="23"/>
      <c r="G87" s="17"/>
      <c r="I87" s="5"/>
      <c r="J87" s="88"/>
      <c r="L87" s="133">
        <v>-29698.66</v>
      </c>
      <c r="M87" s="83"/>
      <c r="N87" s="98"/>
      <c r="P87" s="106"/>
    </row>
    <row r="88" spans="1:16" x14ac:dyDescent="0.25">
      <c r="D88" s="16"/>
      <c r="E88" s="15"/>
      <c r="F88" s="23"/>
      <c r="G88" s="17">
        <v>0.3</v>
      </c>
      <c r="I88" s="5"/>
      <c r="J88" s="88"/>
      <c r="L88" s="128"/>
      <c r="M88" s="83"/>
      <c r="N88" s="98"/>
      <c r="P88" s="106"/>
    </row>
    <row r="89" spans="1:16" x14ac:dyDescent="0.25">
      <c r="B89" t="s">
        <v>22</v>
      </c>
      <c r="D89" s="16" t="s">
        <v>54</v>
      </c>
      <c r="E89" s="15"/>
      <c r="F89" s="23"/>
      <c r="G89" s="17">
        <v>1250069</v>
      </c>
      <c r="H89" s="7"/>
      <c r="I89" s="5"/>
      <c r="J89" s="88"/>
      <c r="L89" s="128">
        <f>G89</f>
        <v>1250069</v>
      </c>
      <c r="M89" s="84"/>
      <c r="N89" s="99">
        <f>G89</f>
        <v>1250069</v>
      </c>
      <c r="P89" s="106"/>
    </row>
    <row r="90" spans="1:16" x14ac:dyDescent="0.25">
      <c r="B90" t="s">
        <v>9</v>
      </c>
      <c r="D90" s="16" t="s">
        <v>50</v>
      </c>
      <c r="E90" s="15">
        <v>750000</v>
      </c>
      <c r="F90" s="23">
        <v>0.03</v>
      </c>
      <c r="G90" s="17">
        <f>E90*F90</f>
        <v>22500</v>
      </c>
      <c r="I90" s="5"/>
      <c r="J90" s="88"/>
      <c r="L90" s="128">
        <f>G90</f>
        <v>22500</v>
      </c>
      <c r="M90" s="83"/>
      <c r="N90" s="99">
        <f>G90</f>
        <v>22500</v>
      </c>
      <c r="P90" s="106"/>
    </row>
    <row r="91" spans="1:16" x14ac:dyDescent="0.25">
      <c r="A91" t="s">
        <v>44</v>
      </c>
      <c r="B91" t="s">
        <v>24</v>
      </c>
      <c r="D91" s="16" t="s">
        <v>52</v>
      </c>
      <c r="E91" s="15"/>
      <c r="F91" s="23"/>
      <c r="G91" s="17">
        <v>401547</v>
      </c>
      <c r="H91" s="7" t="s">
        <v>59</v>
      </c>
      <c r="I91" s="5"/>
      <c r="J91" s="88"/>
      <c r="L91" s="128"/>
      <c r="M91" s="83"/>
      <c r="N91" s="103">
        <f>G91*0.1</f>
        <v>40154.700000000004</v>
      </c>
      <c r="P91" s="106"/>
    </row>
    <row r="92" spans="1:16" x14ac:dyDescent="0.25">
      <c r="A92" s="16" t="s">
        <v>181</v>
      </c>
      <c r="D92" s="16"/>
      <c r="E92" s="15"/>
      <c r="F92" s="23"/>
      <c r="G92" s="17"/>
      <c r="H92" s="7"/>
      <c r="I92" s="5"/>
      <c r="J92" s="88"/>
      <c r="L92" s="133">
        <v>-85084.18</v>
      </c>
      <c r="M92" s="83"/>
      <c r="N92" s="103"/>
      <c r="P92" s="106"/>
    </row>
    <row r="93" spans="1:16" ht="15.75" x14ac:dyDescent="0.25">
      <c r="D93" s="16"/>
      <c r="E93" s="15"/>
      <c r="F93" s="23"/>
      <c r="G93" s="17" t="s">
        <v>73</v>
      </c>
      <c r="I93" s="5" t="s">
        <v>22</v>
      </c>
      <c r="J93" s="91">
        <f>SUM(G89:G91)</f>
        <v>1674116</v>
      </c>
      <c r="L93" s="128"/>
      <c r="M93" s="83"/>
      <c r="N93" s="98"/>
      <c r="P93" s="107">
        <f>J93</f>
        <v>1674116</v>
      </c>
    </row>
    <row r="94" spans="1:16" x14ac:dyDescent="0.25">
      <c r="D94" s="16"/>
      <c r="E94" s="15"/>
      <c r="F94" s="23"/>
      <c r="G94" s="17"/>
      <c r="I94" s="5"/>
      <c r="J94" s="88"/>
      <c r="L94" s="128"/>
      <c r="M94" s="83"/>
      <c r="N94" s="98"/>
      <c r="P94" s="106"/>
    </row>
    <row r="95" spans="1:16" x14ac:dyDescent="0.25">
      <c r="D95" s="16"/>
      <c r="E95" s="15"/>
      <c r="F95" s="23"/>
      <c r="G95" s="17"/>
      <c r="I95" s="5"/>
      <c r="J95" s="88"/>
      <c r="L95" s="128"/>
      <c r="M95" s="83"/>
      <c r="N95" s="98"/>
      <c r="P95" s="106"/>
    </row>
    <row r="96" spans="1:16" x14ac:dyDescent="0.25">
      <c r="B96" t="s">
        <v>25</v>
      </c>
      <c r="D96" s="16"/>
      <c r="E96" s="15" t="s">
        <v>39</v>
      </c>
      <c r="F96" s="23"/>
      <c r="G96" s="18"/>
      <c r="I96" s="5"/>
      <c r="J96" s="88"/>
      <c r="L96" s="128"/>
      <c r="M96" s="83"/>
      <c r="N96" s="98"/>
      <c r="P96" s="106"/>
    </row>
    <row r="97" spans="1:16" x14ac:dyDescent="0.25">
      <c r="D97" s="16"/>
      <c r="E97" s="15"/>
      <c r="F97" s="23"/>
      <c r="G97" s="17"/>
      <c r="I97" s="5"/>
      <c r="J97" s="88"/>
      <c r="L97" s="128"/>
      <c r="M97" s="83"/>
      <c r="N97" s="98"/>
      <c r="P97" s="106"/>
    </row>
    <row r="98" spans="1:16" x14ac:dyDescent="0.25">
      <c r="D98" s="16"/>
      <c r="E98" s="15"/>
      <c r="F98" s="23"/>
      <c r="G98" s="17"/>
      <c r="I98" s="5"/>
      <c r="J98" s="88"/>
      <c r="L98" s="128"/>
      <c r="M98" s="83"/>
      <c r="N98" s="98"/>
      <c r="P98" s="106"/>
    </row>
    <row r="99" spans="1:16" x14ac:dyDescent="0.25">
      <c r="B99" t="s">
        <v>27</v>
      </c>
      <c r="D99" s="16" t="s">
        <v>54</v>
      </c>
      <c r="E99" s="15"/>
      <c r="F99" s="23"/>
      <c r="G99" s="17">
        <f>1594000*0.6</f>
        <v>956400</v>
      </c>
      <c r="H99" s="7" t="s">
        <v>17</v>
      </c>
      <c r="I99" s="5"/>
      <c r="J99" s="88"/>
      <c r="L99" s="128">
        <f>G99</f>
        <v>956400</v>
      </c>
      <c r="M99" s="84"/>
      <c r="N99" s="99">
        <f>G99</f>
        <v>956400</v>
      </c>
      <c r="P99" s="106"/>
    </row>
    <row r="100" spans="1:16" x14ac:dyDescent="0.25">
      <c r="B100" t="s">
        <v>9</v>
      </c>
      <c r="D100" s="16" t="s">
        <v>50</v>
      </c>
      <c r="E100" s="15">
        <f>1063000*0.6</f>
        <v>637800</v>
      </c>
      <c r="F100" s="23">
        <v>0.03</v>
      </c>
      <c r="G100" s="17">
        <f>F100*E100</f>
        <v>19134</v>
      </c>
      <c r="I100" s="5"/>
      <c r="J100" s="88"/>
      <c r="L100" s="128">
        <f>G100</f>
        <v>19134</v>
      </c>
      <c r="M100" s="83"/>
      <c r="N100" s="99">
        <f>G100</f>
        <v>19134</v>
      </c>
      <c r="P100" s="106"/>
    </row>
    <row r="101" spans="1:16" x14ac:dyDescent="0.25">
      <c r="A101" s="16" t="s">
        <v>181</v>
      </c>
      <c r="D101" s="16"/>
      <c r="E101" s="15"/>
      <c r="F101" s="23"/>
      <c r="G101" s="17"/>
      <c r="I101" s="5"/>
      <c r="J101" s="88"/>
      <c r="L101" s="133">
        <v>-20419.080000000002</v>
      </c>
      <c r="M101" s="83"/>
      <c r="N101" s="99"/>
      <c r="P101" s="106"/>
    </row>
    <row r="102" spans="1:16" ht="15.75" x14ac:dyDescent="0.25">
      <c r="D102" s="16"/>
      <c r="E102" s="15"/>
      <c r="F102" s="23"/>
      <c r="G102" s="17" t="s">
        <v>73</v>
      </c>
      <c r="I102" s="5" t="s">
        <v>171</v>
      </c>
      <c r="J102" s="91">
        <f>SUM(G99:G100)</f>
        <v>975534</v>
      </c>
      <c r="L102" s="128"/>
      <c r="M102" s="83"/>
      <c r="N102" s="98"/>
      <c r="P102" s="107">
        <f>J102</f>
        <v>975534</v>
      </c>
    </row>
    <row r="103" spans="1:16" x14ac:dyDescent="0.25">
      <c r="D103" s="16"/>
      <c r="E103" s="16"/>
      <c r="F103" s="23"/>
      <c r="G103" s="17"/>
      <c r="I103" s="5"/>
      <c r="J103" s="88"/>
      <c r="L103" s="128"/>
      <c r="M103" s="83"/>
      <c r="N103" s="98"/>
      <c r="P103" s="106"/>
    </row>
    <row r="104" spans="1:16" x14ac:dyDescent="0.25">
      <c r="D104" s="16"/>
      <c r="E104" s="16"/>
      <c r="F104" s="23"/>
      <c r="G104" s="17"/>
      <c r="I104" s="5"/>
      <c r="J104" s="88"/>
      <c r="L104" s="128"/>
      <c r="M104" s="83"/>
      <c r="N104" s="98"/>
      <c r="P104" s="106"/>
    </row>
    <row r="105" spans="1:16" x14ac:dyDescent="0.25">
      <c r="B105" t="s">
        <v>28</v>
      </c>
      <c r="D105" s="16" t="s">
        <v>182</v>
      </c>
      <c r="E105" s="16"/>
      <c r="F105" s="23"/>
      <c r="G105" s="17">
        <f>900000*0.6</f>
        <v>540000</v>
      </c>
      <c r="I105" s="5"/>
      <c r="J105" s="88"/>
      <c r="L105" s="128"/>
      <c r="M105" s="84"/>
      <c r="N105" s="98"/>
      <c r="P105" s="106"/>
    </row>
    <row r="106" spans="1:16" x14ac:dyDescent="0.25">
      <c r="B106" t="s">
        <v>23</v>
      </c>
      <c r="D106" s="16"/>
      <c r="E106" s="15">
        <v>0</v>
      </c>
      <c r="F106" s="23">
        <v>0</v>
      </c>
      <c r="G106" s="17">
        <f>F106*E106</f>
        <v>0</v>
      </c>
      <c r="I106" s="5"/>
      <c r="J106" s="88"/>
      <c r="L106" s="128"/>
      <c r="M106" s="83"/>
      <c r="N106" s="98"/>
      <c r="P106" s="106"/>
    </row>
    <row r="107" spans="1:16" x14ac:dyDescent="0.25">
      <c r="A107" s="16" t="s">
        <v>181</v>
      </c>
      <c r="D107" s="16"/>
      <c r="E107" s="15"/>
      <c r="F107" s="23"/>
      <c r="G107" s="17"/>
      <c r="I107" s="5"/>
      <c r="J107" s="88"/>
      <c r="L107" s="133">
        <f>-25523.84-11230.49</f>
        <v>-36754.33</v>
      </c>
      <c r="M107" s="83"/>
      <c r="N107" s="98"/>
      <c r="P107" s="106"/>
    </row>
    <row r="108" spans="1:16" ht="15.75" x14ac:dyDescent="0.25">
      <c r="E108" s="1"/>
      <c r="G108" s="17" t="s">
        <v>73</v>
      </c>
      <c r="I108" s="5" t="s">
        <v>172</v>
      </c>
      <c r="J108" s="91">
        <f>SUM(G105:G106)</f>
        <v>540000</v>
      </c>
      <c r="L108" s="128">
        <f>J108</f>
        <v>540000</v>
      </c>
      <c r="M108" s="83"/>
      <c r="N108" s="99">
        <f>J108</f>
        <v>540000</v>
      </c>
      <c r="P108" s="107">
        <f>J108</f>
        <v>540000</v>
      </c>
    </row>
    <row r="109" spans="1:16" x14ac:dyDescent="0.25">
      <c r="G109" s="1"/>
      <c r="I109" s="5"/>
      <c r="J109" s="88"/>
      <c r="L109" s="128"/>
      <c r="M109" s="83"/>
      <c r="N109" s="98"/>
      <c r="P109" s="106"/>
    </row>
    <row r="110" spans="1:16" x14ac:dyDescent="0.25">
      <c r="G110" s="1"/>
      <c r="I110" s="5"/>
      <c r="J110" s="88"/>
      <c r="L110" s="128"/>
      <c r="M110" s="83"/>
      <c r="N110" s="98"/>
      <c r="P110" s="106"/>
    </row>
    <row r="111" spans="1:16" ht="23.25" x14ac:dyDescent="0.35">
      <c r="A111" s="3"/>
      <c r="B111" s="3"/>
      <c r="C111" s="3"/>
      <c r="D111" s="3"/>
      <c r="E111" s="3"/>
      <c r="F111" s="3" t="s">
        <v>157</v>
      </c>
      <c r="G111" s="8"/>
      <c r="H111" s="3"/>
      <c r="I111" s="124"/>
      <c r="J111" s="95">
        <f>SUM(J18:J108)</f>
        <v>30087138.482360002</v>
      </c>
      <c r="L111" s="129">
        <f>SUM(L15:L108)</f>
        <v>21730425.142360002</v>
      </c>
      <c r="M111" s="85"/>
      <c r="N111" s="100">
        <f>SUM(N18:N108)</f>
        <v>24705746.182359997</v>
      </c>
      <c r="P111" s="108">
        <f>SUM(P18:P108)</f>
        <v>47082334.482360005</v>
      </c>
    </row>
    <row r="112" spans="1:16" x14ac:dyDescent="0.25">
      <c r="G112" s="1"/>
      <c r="I112" s="5"/>
      <c r="J112" s="88"/>
      <c r="L112" s="128"/>
      <c r="M112" s="83"/>
      <c r="N112" s="98"/>
      <c r="P112" s="106"/>
    </row>
    <row r="113" spans="1:16" ht="23.25" x14ac:dyDescent="0.35">
      <c r="A113" s="3" t="s">
        <v>30</v>
      </c>
      <c r="G113" s="1"/>
      <c r="I113" s="5"/>
      <c r="J113" s="88"/>
      <c r="L113" s="128"/>
      <c r="M113" s="83"/>
      <c r="N113" s="98"/>
      <c r="P113" s="106"/>
    </row>
    <row r="114" spans="1:16" x14ac:dyDescent="0.25">
      <c r="I114" s="5"/>
      <c r="J114" s="88"/>
      <c r="L114" s="128"/>
      <c r="M114" s="83"/>
      <c r="N114" s="98"/>
      <c r="P114" s="106"/>
    </row>
    <row r="115" spans="1:16" x14ac:dyDescent="0.25">
      <c r="B115" t="s">
        <v>31</v>
      </c>
      <c r="C115" t="s">
        <v>32</v>
      </c>
      <c r="H115" s="9">
        <v>14460000</v>
      </c>
      <c r="I115" s="5"/>
      <c r="J115" s="88"/>
      <c r="L115" s="128"/>
      <c r="M115" s="83"/>
      <c r="N115" s="98"/>
      <c r="P115" s="106"/>
    </row>
    <row r="116" spans="1:16" ht="15.75" x14ac:dyDescent="0.25">
      <c r="C116" t="s">
        <v>33</v>
      </c>
      <c r="G116">
        <v>3.5000000000000003E-2</v>
      </c>
      <c r="I116" s="125">
        <f>H115*(1+G116)</f>
        <v>14966099.999999998</v>
      </c>
      <c r="J116" s="88"/>
      <c r="L116" s="128"/>
      <c r="M116" s="83"/>
      <c r="N116" s="98"/>
      <c r="P116" s="106"/>
    </row>
    <row r="117" spans="1:16" ht="15.75" x14ac:dyDescent="0.25">
      <c r="H117" s="9"/>
      <c r="I117" s="126"/>
      <c r="J117" s="88"/>
      <c r="L117" s="128"/>
      <c r="M117" s="83"/>
      <c r="N117" s="98"/>
      <c r="P117" s="106"/>
    </row>
    <row r="118" spans="1:16" ht="15.75" x14ac:dyDescent="0.25">
      <c r="H118" s="9"/>
      <c r="I118" s="126"/>
      <c r="J118" s="88"/>
      <c r="L118" s="128"/>
      <c r="M118" s="83"/>
      <c r="N118" s="98"/>
      <c r="P118" s="106"/>
    </row>
    <row r="119" spans="1:16" ht="15.75" x14ac:dyDescent="0.25">
      <c r="C119" t="s">
        <v>32</v>
      </c>
      <c r="H119" s="9">
        <f>5000000*0.6</f>
        <v>3000000</v>
      </c>
      <c r="I119" s="126"/>
      <c r="J119" s="88"/>
      <c r="L119" s="128"/>
      <c r="M119" s="83"/>
      <c r="N119" s="98"/>
      <c r="P119" s="106"/>
    </row>
    <row r="120" spans="1:16" ht="15.75" x14ac:dyDescent="0.25">
      <c r="B120" t="s">
        <v>34</v>
      </c>
      <c r="C120" t="s">
        <v>33</v>
      </c>
      <c r="E120" t="s">
        <v>67</v>
      </c>
      <c r="G120">
        <v>0.03</v>
      </c>
      <c r="I120" s="125">
        <f>H119*1.03</f>
        <v>3090000</v>
      </c>
      <c r="J120" s="88"/>
      <c r="L120" s="128"/>
      <c r="M120" s="83"/>
      <c r="N120" s="98"/>
      <c r="P120" s="106"/>
    </row>
    <row r="121" spans="1:16" ht="15.75" x14ac:dyDescent="0.25">
      <c r="I121" s="125"/>
      <c r="J121" s="88"/>
      <c r="L121" s="128"/>
      <c r="M121" s="83"/>
      <c r="N121" s="98"/>
      <c r="P121" s="106"/>
    </row>
    <row r="122" spans="1:16" ht="15.75" x14ac:dyDescent="0.25">
      <c r="I122" s="125"/>
      <c r="J122" s="88"/>
      <c r="L122" s="128"/>
      <c r="M122" s="83"/>
      <c r="N122" s="98"/>
      <c r="P122" s="106"/>
    </row>
    <row r="123" spans="1:16" ht="15.75" x14ac:dyDescent="0.25">
      <c r="B123" t="s">
        <v>63</v>
      </c>
      <c r="E123" t="s">
        <v>66</v>
      </c>
      <c r="I123" s="125">
        <v>200000</v>
      </c>
      <c r="J123" s="88"/>
      <c r="L123" s="128"/>
      <c r="M123" s="83"/>
      <c r="N123" s="98"/>
      <c r="P123" s="106"/>
    </row>
    <row r="124" spans="1:16" ht="15.75" x14ac:dyDescent="0.25">
      <c r="I124" s="125"/>
      <c r="J124" s="88"/>
      <c r="L124" s="128"/>
      <c r="M124" s="83"/>
      <c r="N124" s="98"/>
      <c r="P124" s="106"/>
    </row>
    <row r="125" spans="1:16" ht="15.75" x14ac:dyDescent="0.25">
      <c r="I125" s="125"/>
      <c r="J125" s="88"/>
      <c r="L125" s="128"/>
      <c r="M125" s="83"/>
      <c r="N125" s="98"/>
      <c r="P125" s="106"/>
    </row>
    <row r="126" spans="1:16" ht="15.75" x14ac:dyDescent="0.25">
      <c r="B126" t="s">
        <v>68</v>
      </c>
      <c r="E126" t="s">
        <v>75</v>
      </c>
      <c r="I126" s="127">
        <v>50000</v>
      </c>
      <c r="J126" s="88"/>
      <c r="L126" s="128"/>
      <c r="M126" s="83"/>
      <c r="N126" s="98"/>
      <c r="P126" s="106"/>
    </row>
    <row r="127" spans="1:16" ht="15.75" x14ac:dyDescent="0.25">
      <c r="I127" s="127"/>
      <c r="J127" s="88"/>
      <c r="L127" s="128"/>
      <c r="M127" s="83"/>
      <c r="N127" s="98"/>
      <c r="P127" s="106"/>
    </row>
    <row r="128" spans="1:16" ht="15.75" x14ac:dyDescent="0.25">
      <c r="I128" s="127"/>
      <c r="J128" s="88"/>
      <c r="L128" s="128"/>
      <c r="M128" s="83"/>
      <c r="N128" s="98"/>
      <c r="P128" s="106"/>
    </row>
    <row r="129" spans="2:16" ht="15.75" x14ac:dyDescent="0.25">
      <c r="B129" t="s">
        <v>74</v>
      </c>
      <c r="E129" t="s">
        <v>91</v>
      </c>
      <c r="I129" s="127">
        <v>100000</v>
      </c>
      <c r="J129" s="88"/>
      <c r="L129" s="128"/>
      <c r="M129" s="83"/>
      <c r="N129" s="98"/>
      <c r="P129" s="106"/>
    </row>
    <row r="130" spans="2:16" ht="15.75" x14ac:dyDescent="0.25">
      <c r="I130" s="127"/>
      <c r="J130" s="88"/>
      <c r="L130" s="128"/>
      <c r="M130" s="83"/>
      <c r="N130" s="98"/>
      <c r="P130" s="106"/>
    </row>
    <row r="131" spans="2:16" ht="15.75" x14ac:dyDescent="0.25">
      <c r="I131" s="127"/>
      <c r="J131" s="88"/>
      <c r="L131" s="136"/>
      <c r="M131" s="83"/>
      <c r="N131" s="98"/>
      <c r="P131" s="106"/>
    </row>
    <row r="132" spans="2:16" ht="15.75" x14ac:dyDescent="0.25">
      <c r="B132" t="s">
        <v>35</v>
      </c>
      <c r="E132" t="s">
        <v>64</v>
      </c>
      <c r="I132" s="127">
        <f>1035000*0.6</f>
        <v>621000</v>
      </c>
      <c r="J132" s="88"/>
      <c r="L132" s="137"/>
      <c r="M132" s="83"/>
      <c r="N132" s="98"/>
      <c r="P132" s="106"/>
    </row>
    <row r="133" spans="2:16" ht="15.75" x14ac:dyDescent="0.25">
      <c r="I133" s="127"/>
      <c r="J133" s="88"/>
      <c r="L133" s="137"/>
      <c r="M133" s="83"/>
      <c r="N133" s="98"/>
      <c r="P133" s="106"/>
    </row>
    <row r="134" spans="2:16" ht="15.75" x14ac:dyDescent="0.25">
      <c r="I134" s="127"/>
      <c r="J134" s="88"/>
      <c r="L134" s="137"/>
      <c r="M134" s="83"/>
      <c r="N134" s="98"/>
      <c r="P134" s="106"/>
    </row>
    <row r="135" spans="2:16" ht="15.75" x14ac:dyDescent="0.25">
      <c r="B135" t="s">
        <v>36</v>
      </c>
      <c r="I135" s="127">
        <f>80000*0.6</f>
        <v>48000</v>
      </c>
      <c r="J135" s="88"/>
      <c r="L135" s="137"/>
      <c r="M135" s="83"/>
      <c r="N135" s="98"/>
      <c r="P135" s="106"/>
    </row>
    <row r="136" spans="2:16" ht="15.75" x14ac:dyDescent="0.25">
      <c r="I136" s="127"/>
      <c r="J136" s="88"/>
      <c r="L136" s="137"/>
      <c r="M136" s="83"/>
      <c r="N136" s="98"/>
      <c r="P136" s="106"/>
    </row>
    <row r="137" spans="2:16" ht="15.75" x14ac:dyDescent="0.25">
      <c r="I137" s="127"/>
      <c r="J137" s="88"/>
      <c r="L137" s="137"/>
      <c r="M137" s="83"/>
      <c r="N137" s="98"/>
      <c r="P137" s="106"/>
    </row>
    <row r="138" spans="2:16" ht="15.75" x14ac:dyDescent="0.25">
      <c r="B138" t="s">
        <v>37</v>
      </c>
      <c r="E138" t="s">
        <v>65</v>
      </c>
      <c r="I138" s="127">
        <f>1100000*0.6</f>
        <v>660000</v>
      </c>
      <c r="J138" s="88"/>
      <c r="L138" s="128"/>
      <c r="M138" s="83"/>
      <c r="N138" s="98"/>
      <c r="P138" s="106"/>
    </row>
    <row r="139" spans="2:16" ht="15.75" x14ac:dyDescent="0.25">
      <c r="I139" s="127"/>
      <c r="J139" s="88"/>
      <c r="L139" s="128"/>
      <c r="M139" s="83"/>
      <c r="N139" s="98"/>
      <c r="P139" s="106"/>
    </row>
    <row r="140" spans="2:16" ht="15.75" x14ac:dyDescent="0.25">
      <c r="I140" s="127"/>
      <c r="J140" s="88"/>
      <c r="L140" s="128"/>
      <c r="M140" s="83"/>
      <c r="N140" s="98"/>
      <c r="P140" s="106"/>
    </row>
    <row r="141" spans="2:16" ht="15.75" x14ac:dyDescent="0.25">
      <c r="B141" t="s">
        <v>58</v>
      </c>
      <c r="I141" s="127">
        <f>(855000+1500000+170000+20000+20000+12000)*0.5</f>
        <v>1288500</v>
      </c>
      <c r="J141" s="88"/>
      <c r="L141" s="128"/>
      <c r="M141" s="83"/>
      <c r="N141" s="98"/>
      <c r="P141" s="106"/>
    </row>
    <row r="142" spans="2:16" ht="15.75" x14ac:dyDescent="0.25">
      <c r="I142" s="127"/>
      <c r="J142" s="88"/>
      <c r="L142" s="128"/>
      <c r="M142" s="83"/>
      <c r="N142" s="98"/>
      <c r="P142" s="106"/>
    </row>
    <row r="143" spans="2:16" ht="15.75" x14ac:dyDescent="0.25">
      <c r="I143" s="127"/>
      <c r="J143" s="88"/>
      <c r="L143" s="128"/>
      <c r="M143" s="83"/>
      <c r="N143" s="98"/>
      <c r="P143" s="106"/>
    </row>
    <row r="144" spans="2:16" ht="15.75" x14ac:dyDescent="0.25">
      <c r="B144" t="s">
        <v>69</v>
      </c>
      <c r="I144" s="127">
        <f>200000*0.6</f>
        <v>120000</v>
      </c>
      <c r="J144" s="88"/>
      <c r="L144" s="128"/>
      <c r="M144" s="83"/>
      <c r="N144" s="98"/>
      <c r="P144" s="106"/>
    </row>
    <row r="145" spans="2:16" ht="15.75" x14ac:dyDescent="0.25">
      <c r="I145" s="127"/>
      <c r="J145" s="88"/>
      <c r="L145" s="128"/>
      <c r="M145" s="83"/>
      <c r="N145" s="98"/>
      <c r="P145" s="106"/>
    </row>
    <row r="146" spans="2:16" ht="15.75" x14ac:dyDescent="0.25">
      <c r="I146" s="127"/>
      <c r="J146" s="88"/>
      <c r="L146" s="128"/>
      <c r="M146" s="83"/>
      <c r="N146" s="98"/>
      <c r="P146" s="106"/>
    </row>
    <row r="147" spans="2:16" ht="15.75" x14ac:dyDescent="0.25">
      <c r="B147" t="s">
        <v>92</v>
      </c>
      <c r="E147" t="s">
        <v>93</v>
      </c>
      <c r="I147" s="127">
        <v>0</v>
      </c>
      <c r="J147" s="88"/>
      <c r="L147" s="128"/>
      <c r="M147" s="83"/>
      <c r="N147" s="98"/>
      <c r="P147" s="106"/>
    </row>
    <row r="148" spans="2:16" ht="15.75" x14ac:dyDescent="0.25">
      <c r="I148" s="127"/>
      <c r="J148" s="88"/>
      <c r="L148" s="128"/>
      <c r="M148" s="83"/>
      <c r="N148" s="98"/>
      <c r="P148" s="106"/>
    </row>
    <row r="149" spans="2:16" ht="15.75" x14ac:dyDescent="0.25">
      <c r="I149" s="127"/>
      <c r="J149" s="88"/>
      <c r="L149" s="128"/>
      <c r="M149" s="83"/>
      <c r="N149" s="98"/>
      <c r="P149" s="106"/>
    </row>
    <row r="150" spans="2:16" ht="15.75" x14ac:dyDescent="0.25">
      <c r="B150" t="s">
        <v>71</v>
      </c>
      <c r="E150" t="s">
        <v>78</v>
      </c>
      <c r="I150" s="127">
        <v>345000</v>
      </c>
      <c r="J150" s="88"/>
      <c r="L150" s="128"/>
      <c r="M150" s="83"/>
      <c r="N150" s="98"/>
      <c r="P150" s="106"/>
    </row>
    <row r="151" spans="2:16" ht="15.75" x14ac:dyDescent="0.25">
      <c r="I151" s="127"/>
      <c r="J151" s="88"/>
      <c r="L151" s="128"/>
      <c r="M151" s="83"/>
      <c r="N151" s="98"/>
      <c r="P151" s="106"/>
    </row>
    <row r="152" spans="2:16" ht="15.75" x14ac:dyDescent="0.25">
      <c r="I152" s="127"/>
      <c r="J152" s="88"/>
      <c r="L152" s="128"/>
      <c r="M152" s="83"/>
      <c r="N152" s="98"/>
      <c r="P152" s="106"/>
    </row>
    <row r="153" spans="2:16" ht="15.75" x14ac:dyDescent="0.25">
      <c r="B153" s="116" t="s">
        <v>134</v>
      </c>
      <c r="C153" s="116"/>
      <c r="D153" s="116"/>
      <c r="E153" s="116"/>
      <c r="F153" s="116"/>
      <c r="G153" s="116"/>
      <c r="H153" s="116"/>
      <c r="I153" s="114"/>
      <c r="J153" s="117"/>
      <c r="K153" s="116"/>
      <c r="L153" s="138"/>
      <c r="M153" s="118"/>
      <c r="N153" s="115">
        <f>J164</f>
        <v>3255600</v>
      </c>
      <c r="O153" s="116"/>
      <c r="P153" s="119"/>
    </row>
    <row r="154" spans="2:16" ht="23.25" x14ac:dyDescent="0.35">
      <c r="D154" s="8"/>
      <c r="E154" s="8"/>
      <c r="F154" s="8"/>
      <c r="G154" s="8"/>
      <c r="H154" s="8"/>
      <c r="I154" s="10"/>
      <c r="J154" s="95"/>
      <c r="L154" s="128"/>
      <c r="M154" s="83"/>
      <c r="N154" s="98"/>
      <c r="P154" s="106"/>
    </row>
    <row r="155" spans="2:16" ht="23.25" x14ac:dyDescent="0.35">
      <c r="D155" s="8"/>
      <c r="E155" s="8"/>
      <c r="F155" s="8" t="s">
        <v>158</v>
      </c>
      <c r="G155" s="8"/>
      <c r="H155" s="8"/>
      <c r="I155" s="8"/>
      <c r="J155" s="95">
        <f>SUM(I116:I154)</f>
        <v>21488600</v>
      </c>
      <c r="L155" s="129">
        <f>J155</f>
        <v>21488600</v>
      </c>
      <c r="M155" s="85"/>
      <c r="N155" s="100">
        <f>J155+N153</f>
        <v>24744200</v>
      </c>
      <c r="P155" s="108">
        <f>J155</f>
        <v>21488600</v>
      </c>
    </row>
    <row r="156" spans="2:16" ht="23.25" x14ac:dyDescent="0.35">
      <c r="D156" s="8"/>
      <c r="E156" s="8"/>
      <c r="F156" s="8"/>
      <c r="G156" s="8"/>
      <c r="H156" s="8"/>
      <c r="I156" s="8"/>
      <c r="J156" s="95"/>
      <c r="L156" s="128"/>
      <c r="M156" s="83"/>
      <c r="N156" s="98"/>
      <c r="P156" s="106"/>
    </row>
    <row r="157" spans="2:16" ht="23.25" x14ac:dyDescent="0.35">
      <c r="D157" s="8"/>
      <c r="E157" s="8"/>
      <c r="F157" s="8"/>
      <c r="G157" s="8"/>
      <c r="H157" s="8"/>
      <c r="I157" s="8"/>
      <c r="J157" s="95"/>
      <c r="L157" s="128"/>
      <c r="M157" s="83"/>
      <c r="N157" s="98"/>
      <c r="P157" s="106"/>
    </row>
    <row r="158" spans="2:16" ht="23.25" x14ac:dyDescent="0.35">
      <c r="D158" s="8"/>
      <c r="E158" s="8"/>
      <c r="F158" s="8"/>
      <c r="G158" s="8"/>
      <c r="H158" s="8"/>
      <c r="I158" s="8"/>
      <c r="J158" s="95"/>
      <c r="L158" s="128"/>
      <c r="M158" s="83"/>
      <c r="N158" s="98"/>
      <c r="P158" s="106"/>
    </row>
    <row r="159" spans="2:16" ht="24" thickBot="1" x14ac:dyDescent="0.4">
      <c r="D159" s="8"/>
      <c r="E159" s="8"/>
      <c r="F159" s="8" t="s">
        <v>38</v>
      </c>
      <c r="G159" s="8"/>
      <c r="H159" s="8"/>
      <c r="I159" s="8"/>
      <c r="J159" s="95">
        <f>J155-J111</f>
        <v>-8598538.4823600017</v>
      </c>
      <c r="L159" s="130">
        <f>L155-L111</f>
        <v>-241825.1423600018</v>
      </c>
      <c r="M159" s="85"/>
      <c r="N159" s="100">
        <f>N155-N111</f>
        <v>38453.817640002817</v>
      </c>
      <c r="P159" s="108">
        <f>P155-P111</f>
        <v>-25593734.482360005</v>
      </c>
    </row>
    <row r="160" spans="2:16" x14ac:dyDescent="0.25">
      <c r="J160" s="1"/>
      <c r="M160" s="83"/>
    </row>
    <row r="161" spans="1:13" x14ac:dyDescent="0.25">
      <c r="J161" s="1"/>
      <c r="M161" s="83"/>
    </row>
    <row r="162" spans="1:13" ht="21" x14ac:dyDescent="0.35">
      <c r="A162" s="2" t="s">
        <v>41</v>
      </c>
      <c r="J162" s="1"/>
      <c r="M162" s="83"/>
    </row>
    <row r="163" spans="1:13" ht="21" x14ac:dyDescent="0.35">
      <c r="A163" s="2"/>
      <c r="J163" s="1"/>
      <c r="M163" s="83"/>
    </row>
    <row r="164" spans="1:13" ht="60" x14ac:dyDescent="0.25">
      <c r="B164" t="s">
        <v>40</v>
      </c>
      <c r="G164" s="11" t="s">
        <v>81</v>
      </c>
      <c r="H164" s="12">
        <v>6.4</v>
      </c>
      <c r="J164" s="1">
        <f>(5426000*0.6)/6.4*H164</f>
        <v>3255600</v>
      </c>
      <c r="M164" s="83"/>
    </row>
    <row r="165" spans="1:13" x14ac:dyDescent="0.25">
      <c r="J165" s="1"/>
      <c r="M165" s="83"/>
    </row>
    <row r="166" spans="1:13" x14ac:dyDescent="0.25">
      <c r="B166" t="s">
        <v>42</v>
      </c>
      <c r="J166" s="1">
        <f>-J159-J164</f>
        <v>5342938.4823600017</v>
      </c>
      <c r="M166" s="83"/>
    </row>
    <row r="167" spans="1:13" x14ac:dyDescent="0.25">
      <c r="J167" s="1"/>
      <c r="M167" s="83"/>
    </row>
    <row r="168" spans="1:13" x14ac:dyDescent="0.25">
      <c r="B168" t="s">
        <v>43</v>
      </c>
      <c r="J168" s="1">
        <f>J159+J164+J166</f>
        <v>0</v>
      </c>
      <c r="M168" s="83"/>
    </row>
    <row r="169" spans="1:13" x14ac:dyDescent="0.25">
      <c r="M169" s="83"/>
    </row>
    <row r="170" spans="1:13" x14ac:dyDescent="0.25">
      <c r="M170" s="83"/>
    </row>
    <row r="171" spans="1:13" x14ac:dyDescent="0.25">
      <c r="M171" s="83"/>
    </row>
    <row r="172" spans="1:13" x14ac:dyDescent="0.25">
      <c r="M172" s="83"/>
    </row>
    <row r="173" spans="1:13" x14ac:dyDescent="0.25">
      <c r="M173" s="83"/>
    </row>
    <row r="174" spans="1:13" x14ac:dyDescent="0.25">
      <c r="M174" s="83"/>
    </row>
    <row r="175" spans="1:13" ht="18.75" x14ac:dyDescent="0.3">
      <c r="D175" s="26"/>
      <c r="M175" s="83"/>
    </row>
    <row r="176" spans="1:13" ht="18.75" x14ac:dyDescent="0.3">
      <c r="D176" s="26"/>
      <c r="M176" s="83"/>
    </row>
    <row r="177" spans="4:13" ht="18.75" x14ac:dyDescent="0.3">
      <c r="D177" s="26"/>
      <c r="M177" s="83"/>
    </row>
    <row r="178" spans="4:13" ht="21" x14ac:dyDescent="0.35">
      <c r="D178" s="26"/>
      <c r="G178" t="s">
        <v>95</v>
      </c>
      <c r="J178" s="29">
        <f>J159+B6</f>
        <v>-8598538.4823600017</v>
      </c>
    </row>
  </sheetData>
  <mergeCells count="1">
    <mergeCell ref="J1:P1"/>
  </mergeCells>
  <pageMargins left="0.7" right="0.7" top="0.75" bottom="0.75" header="0.3" footer="0.3"/>
  <pageSetup paperSize="3" scale="25" orientation="portrait" horizontalDpi="1200" verticalDpi="120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2"/>
  <sheetViews>
    <sheetView topLeftCell="A62" workbookViewId="0">
      <selection activeCell="A76" sqref="A76"/>
    </sheetView>
  </sheetViews>
  <sheetFormatPr defaultColWidth="9.140625" defaultRowHeight="18.75" x14ac:dyDescent="0.3"/>
  <cols>
    <col min="1" max="1" width="27.28515625" style="59" customWidth="1"/>
    <col min="2" max="2" width="23.7109375" style="59" customWidth="1"/>
    <col min="3" max="3" width="19.5703125" style="59" customWidth="1"/>
    <col min="4" max="4" width="18.140625" style="59" customWidth="1"/>
    <col min="5" max="5" width="20.85546875" style="59" customWidth="1"/>
    <col min="6" max="6" width="23.5703125" style="59" customWidth="1"/>
    <col min="7" max="7" width="20.42578125" style="59" customWidth="1"/>
    <col min="8" max="8" width="25.5703125" style="59" bestFit="1" customWidth="1"/>
    <col min="9" max="9" width="22.140625" style="59" bestFit="1" customWidth="1"/>
    <col min="10" max="10" width="24.140625" style="59" bestFit="1" customWidth="1"/>
    <col min="11" max="16384" width="9.140625" style="59"/>
  </cols>
  <sheetData>
    <row r="1" spans="1:13" x14ac:dyDescent="0.3">
      <c r="A1" s="26" t="s">
        <v>0</v>
      </c>
      <c r="B1" s="26"/>
    </row>
    <row r="3" spans="1:13" x14ac:dyDescent="0.3">
      <c r="A3" s="60" t="s">
        <v>94</v>
      </c>
    </row>
    <row r="4" spans="1:13" x14ac:dyDescent="0.3">
      <c r="A4" s="26" t="s">
        <v>80</v>
      </c>
      <c r="B4" s="27">
        <v>6769387</v>
      </c>
      <c r="C4" s="26"/>
    </row>
    <row r="5" spans="1:13" x14ac:dyDescent="0.3">
      <c r="A5" s="26"/>
      <c r="B5" s="27"/>
      <c r="C5" s="26"/>
    </row>
    <row r="8" spans="1:13" x14ac:dyDescent="0.3">
      <c r="A8" s="26" t="s">
        <v>29</v>
      </c>
      <c r="C8" s="61"/>
      <c r="D8" s="61" t="s">
        <v>2</v>
      </c>
      <c r="E8" s="61"/>
      <c r="F8" s="61"/>
      <c r="G8" s="61" t="s">
        <v>5</v>
      </c>
      <c r="H8" s="61"/>
      <c r="I8" s="62"/>
      <c r="J8" s="63"/>
    </row>
    <row r="9" spans="1:13" x14ac:dyDescent="0.3">
      <c r="A9" s="59" t="s">
        <v>48</v>
      </c>
      <c r="C9" s="61" t="s">
        <v>1</v>
      </c>
      <c r="D9" s="61" t="s">
        <v>7</v>
      </c>
      <c r="E9" s="61" t="s">
        <v>3</v>
      </c>
      <c r="F9" s="61" t="s">
        <v>4</v>
      </c>
      <c r="G9" s="61" t="s">
        <v>6</v>
      </c>
      <c r="H9" s="61" t="s">
        <v>10</v>
      </c>
      <c r="I9" s="62"/>
      <c r="J9" s="62"/>
    </row>
    <row r="10" spans="1:13" x14ac:dyDescent="0.3">
      <c r="A10" s="59" t="s">
        <v>83</v>
      </c>
      <c r="C10" s="64">
        <v>102019.44</v>
      </c>
      <c r="D10" s="64">
        <v>92479.58</v>
      </c>
      <c r="E10" s="64">
        <v>153932.47</v>
      </c>
      <c r="F10" s="64">
        <v>194824.5</v>
      </c>
      <c r="G10" s="64">
        <v>123186.97</v>
      </c>
      <c r="H10" s="64">
        <v>32833</v>
      </c>
      <c r="I10" s="64"/>
      <c r="J10" s="27"/>
      <c r="L10" s="65"/>
      <c r="M10" s="64"/>
    </row>
    <row r="11" spans="1:13" x14ac:dyDescent="0.3">
      <c r="A11" s="66" t="s">
        <v>84</v>
      </c>
      <c r="B11" s="66" t="s">
        <v>45</v>
      </c>
      <c r="C11" s="67">
        <v>48000</v>
      </c>
      <c r="D11" s="67">
        <v>48000</v>
      </c>
      <c r="E11" s="67">
        <v>48000</v>
      </c>
      <c r="F11" s="67">
        <v>48000</v>
      </c>
      <c r="G11" s="67">
        <v>48000</v>
      </c>
      <c r="H11" s="67"/>
      <c r="I11" s="67"/>
      <c r="J11" s="67"/>
    </row>
    <row r="12" spans="1:13" x14ac:dyDescent="0.3">
      <c r="A12" s="66" t="s">
        <v>84</v>
      </c>
      <c r="B12" s="66" t="s">
        <v>46</v>
      </c>
      <c r="C12" s="68">
        <v>18000</v>
      </c>
      <c r="D12" s="68">
        <v>18000</v>
      </c>
      <c r="E12" s="68">
        <v>18000</v>
      </c>
      <c r="F12" s="68">
        <v>18000</v>
      </c>
      <c r="G12" s="68">
        <v>18000</v>
      </c>
      <c r="H12" s="68"/>
      <c r="I12" s="67"/>
      <c r="J12" s="69"/>
    </row>
    <row r="13" spans="1:13" x14ac:dyDescent="0.3">
      <c r="A13" s="59" t="s">
        <v>8</v>
      </c>
      <c r="C13" s="27">
        <f t="shared" ref="C13:H13" si="0">SUM(C10:C12)</f>
        <v>168019.44</v>
      </c>
      <c r="D13" s="27">
        <f t="shared" si="0"/>
        <v>158479.58000000002</v>
      </c>
      <c r="E13" s="27">
        <f t="shared" si="0"/>
        <v>219932.47</v>
      </c>
      <c r="F13" s="27">
        <f t="shared" si="0"/>
        <v>260824.5</v>
      </c>
      <c r="G13" s="27">
        <f t="shared" si="0"/>
        <v>189186.97</v>
      </c>
      <c r="H13" s="27">
        <f t="shared" si="0"/>
        <v>32833</v>
      </c>
      <c r="J13" s="27"/>
    </row>
    <row r="14" spans="1:13" x14ac:dyDescent="0.3">
      <c r="A14" s="27" t="s">
        <v>117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</row>
    <row r="15" spans="1:13" x14ac:dyDescent="0.3">
      <c r="A15" s="59" t="s">
        <v>118</v>
      </c>
      <c r="C15" s="70">
        <f t="shared" ref="C15:H15" si="1">C14*C10</f>
        <v>0</v>
      </c>
      <c r="D15" s="70">
        <f t="shared" si="1"/>
        <v>0</v>
      </c>
      <c r="E15" s="70">
        <f t="shared" si="1"/>
        <v>0</v>
      </c>
      <c r="F15" s="70">
        <f t="shared" si="1"/>
        <v>0</v>
      </c>
      <c r="G15" s="70">
        <f t="shared" si="1"/>
        <v>0</v>
      </c>
      <c r="H15" s="70">
        <f t="shared" si="1"/>
        <v>0</v>
      </c>
    </row>
    <row r="16" spans="1:13" x14ac:dyDescent="0.3">
      <c r="F16" s="71"/>
    </row>
    <row r="17" spans="1:17" x14ac:dyDescent="0.3">
      <c r="F17" s="71"/>
      <c r="H17" s="59" t="s">
        <v>119</v>
      </c>
      <c r="I17" s="59" t="s">
        <v>120</v>
      </c>
    </row>
    <row r="18" spans="1:17" x14ac:dyDescent="0.3">
      <c r="A18" s="59" t="s">
        <v>86</v>
      </c>
      <c r="F18" s="71"/>
      <c r="G18" s="64">
        <v>352210</v>
      </c>
      <c r="H18" s="59">
        <v>0</v>
      </c>
      <c r="I18" s="64">
        <f>G18*H18</f>
        <v>0</v>
      </c>
    </row>
    <row r="19" spans="1:17" x14ac:dyDescent="0.3">
      <c r="A19" s="66" t="s">
        <v>84</v>
      </c>
      <c r="B19" s="66" t="s">
        <v>47</v>
      </c>
      <c r="C19" s="66"/>
      <c r="D19" s="66"/>
      <c r="E19" s="66"/>
      <c r="F19" s="71"/>
      <c r="G19" s="67">
        <v>35000</v>
      </c>
      <c r="I19" s="64"/>
    </row>
    <row r="20" spans="1:17" x14ac:dyDescent="0.3">
      <c r="A20" s="66" t="s">
        <v>85</v>
      </c>
      <c r="B20" s="66" t="s">
        <v>49</v>
      </c>
      <c r="C20" s="66"/>
      <c r="D20" s="66"/>
      <c r="E20" s="66"/>
      <c r="F20" s="71"/>
      <c r="G20" s="69">
        <v>11000</v>
      </c>
      <c r="I20" s="75"/>
    </row>
    <row r="21" spans="1:17" x14ac:dyDescent="0.3">
      <c r="A21" s="66" t="s">
        <v>85</v>
      </c>
      <c r="B21" s="66" t="s">
        <v>124</v>
      </c>
      <c r="C21" s="66"/>
      <c r="D21" s="66"/>
      <c r="E21" s="66"/>
      <c r="F21" s="71"/>
      <c r="G21" s="68">
        <v>5000</v>
      </c>
      <c r="I21" s="79"/>
    </row>
    <row r="22" spans="1:17" x14ac:dyDescent="0.3">
      <c r="F22" s="71"/>
      <c r="G22" s="27">
        <f>SUM(G18:G21)</f>
        <v>403210</v>
      </c>
      <c r="H22" s="27"/>
      <c r="I22" s="64">
        <f>SUM(I18:I20)</f>
        <v>0</v>
      </c>
      <c r="J22" s="27"/>
    </row>
    <row r="23" spans="1:17" x14ac:dyDescent="0.3">
      <c r="F23" s="71"/>
      <c r="I23" s="64"/>
      <c r="J23" s="64"/>
    </row>
    <row r="24" spans="1:17" x14ac:dyDescent="0.3">
      <c r="F24" s="71"/>
      <c r="I24" s="64"/>
      <c r="J24" s="64"/>
    </row>
    <row r="25" spans="1:17" x14ac:dyDescent="0.3">
      <c r="A25" s="26" t="s">
        <v>16</v>
      </c>
      <c r="D25" s="72"/>
      <c r="E25" s="72"/>
      <c r="F25" s="73"/>
      <c r="G25" s="74"/>
      <c r="I25" s="64"/>
      <c r="J25" s="64"/>
    </row>
    <row r="26" spans="1:17" x14ac:dyDescent="0.3">
      <c r="A26" s="59" t="s">
        <v>12</v>
      </c>
      <c r="B26" s="66" t="s">
        <v>53</v>
      </c>
      <c r="E26" s="66"/>
      <c r="F26" s="71"/>
      <c r="G26" s="64">
        <v>674025</v>
      </c>
      <c r="H26" s="59">
        <v>0</v>
      </c>
      <c r="I26" s="64">
        <f>G26*H26</f>
        <v>0</v>
      </c>
      <c r="J26" s="64"/>
      <c r="P26" s="71"/>
      <c r="Q26" s="27"/>
    </row>
    <row r="27" spans="1:17" x14ac:dyDescent="0.3">
      <c r="A27" s="66" t="s">
        <v>85</v>
      </c>
      <c r="B27" s="66" t="s">
        <v>88</v>
      </c>
      <c r="F27" s="71"/>
      <c r="G27" s="68">
        <v>21840</v>
      </c>
      <c r="I27" s="75"/>
      <c r="J27" s="64"/>
    </row>
    <row r="28" spans="1:17" x14ac:dyDescent="0.3">
      <c r="D28" s="66"/>
      <c r="E28" s="67"/>
      <c r="F28" s="71"/>
      <c r="G28" s="27">
        <f>SUM(G26:G27)</f>
        <v>695865</v>
      </c>
      <c r="H28" s="27"/>
      <c r="I28" s="64">
        <f>SUM(I26:I27)</f>
        <v>0</v>
      </c>
    </row>
    <row r="29" spans="1:17" x14ac:dyDescent="0.3">
      <c r="D29" s="66"/>
      <c r="E29" s="67"/>
      <c r="F29" s="71"/>
      <c r="G29" s="27"/>
      <c r="I29" s="64"/>
    </row>
    <row r="30" spans="1:17" x14ac:dyDescent="0.3">
      <c r="A30" s="59" t="s">
        <v>13</v>
      </c>
      <c r="B30" s="66" t="s">
        <v>53</v>
      </c>
      <c r="E30" s="67"/>
      <c r="F30" s="71"/>
      <c r="G30" s="64">
        <f>4000555.4+270000+71731</f>
        <v>4342286.4000000004</v>
      </c>
      <c r="H30" s="59">
        <v>0</v>
      </c>
      <c r="I30" s="64">
        <f>G30*H30</f>
        <v>0</v>
      </c>
      <c r="J30" s="64"/>
    </row>
    <row r="31" spans="1:17" x14ac:dyDescent="0.3">
      <c r="A31" s="66" t="s">
        <v>85</v>
      </c>
      <c r="B31" s="66" t="s">
        <v>89</v>
      </c>
      <c r="E31" s="67"/>
      <c r="F31" s="71"/>
      <c r="G31" s="64">
        <v>90000</v>
      </c>
      <c r="I31" s="64"/>
      <c r="J31" s="27"/>
    </row>
    <row r="32" spans="1:17" x14ac:dyDescent="0.3">
      <c r="A32" s="66" t="s">
        <v>85</v>
      </c>
      <c r="B32" s="66" t="s">
        <v>90</v>
      </c>
      <c r="E32" s="67"/>
      <c r="F32" s="71"/>
      <c r="G32" s="75">
        <v>80000</v>
      </c>
      <c r="I32" s="75"/>
      <c r="J32" s="27"/>
    </row>
    <row r="33" spans="1:10" x14ac:dyDescent="0.3">
      <c r="D33" s="66"/>
      <c r="E33" s="67"/>
      <c r="F33" s="71"/>
      <c r="G33" s="27">
        <f>SUM(G30:G32)</f>
        <v>4512286.4000000004</v>
      </c>
      <c r="H33" s="27"/>
      <c r="I33" s="64">
        <f>SUM(I30:I32)</f>
        <v>0</v>
      </c>
      <c r="J33" s="27"/>
    </row>
    <row r="34" spans="1:10" x14ac:dyDescent="0.3">
      <c r="D34" s="66"/>
      <c r="E34" s="67"/>
      <c r="F34" s="71"/>
      <c r="G34" s="27"/>
      <c r="I34" s="64"/>
      <c r="J34" s="27"/>
    </row>
    <row r="35" spans="1:10" x14ac:dyDescent="0.3">
      <c r="A35" s="59" t="s">
        <v>15</v>
      </c>
      <c r="D35" s="66"/>
      <c r="E35" s="67"/>
      <c r="F35" s="71"/>
      <c r="G35" s="27">
        <v>830406.15</v>
      </c>
      <c r="I35" s="64"/>
      <c r="J35" s="64"/>
    </row>
    <row r="36" spans="1:10" x14ac:dyDescent="0.3">
      <c r="D36" s="66"/>
      <c r="E36" s="67"/>
      <c r="F36" s="71"/>
      <c r="G36" s="27"/>
      <c r="I36" s="64"/>
    </row>
    <row r="37" spans="1:10" x14ac:dyDescent="0.3">
      <c r="A37" s="59" t="s">
        <v>19</v>
      </c>
      <c r="B37" s="66" t="s">
        <v>53</v>
      </c>
      <c r="E37" s="67"/>
      <c r="F37" s="71"/>
      <c r="G37" s="64">
        <f>8838381.582+95890</f>
        <v>8934271.5820000004</v>
      </c>
      <c r="H37" s="59">
        <v>0</v>
      </c>
      <c r="I37" s="64">
        <f>G37*H37</f>
        <v>0</v>
      </c>
    </row>
    <row r="38" spans="1:10" x14ac:dyDescent="0.3">
      <c r="A38" s="59" t="s">
        <v>44</v>
      </c>
      <c r="B38" s="59" t="s">
        <v>20</v>
      </c>
      <c r="D38" s="66"/>
      <c r="E38" s="67"/>
      <c r="F38" s="71"/>
      <c r="G38" s="75">
        <v>4000000</v>
      </c>
      <c r="H38" s="67"/>
      <c r="I38" s="75"/>
    </row>
    <row r="39" spans="1:10" x14ac:dyDescent="0.3">
      <c r="D39" s="66"/>
      <c r="E39" s="67"/>
      <c r="F39" s="71"/>
      <c r="G39" s="27">
        <f>SUM(G37:G38)</f>
        <v>12934271.582</v>
      </c>
      <c r="H39" s="27"/>
      <c r="I39" s="64">
        <f>SUM(I37:I38)</f>
        <v>0</v>
      </c>
    </row>
    <row r="40" spans="1:10" x14ac:dyDescent="0.3">
      <c r="D40" s="66"/>
      <c r="E40" s="67"/>
      <c r="F40" s="71"/>
      <c r="G40" s="27"/>
      <c r="I40" s="64"/>
    </row>
    <row r="41" spans="1:10" x14ac:dyDescent="0.3">
      <c r="A41" s="59" t="s">
        <v>14</v>
      </c>
      <c r="B41" s="66" t="s">
        <v>53</v>
      </c>
      <c r="E41" s="67"/>
      <c r="F41" s="71"/>
      <c r="G41" s="64">
        <f>3851956.8+35378+200000+75000+54000</f>
        <v>4216334.8</v>
      </c>
      <c r="H41" s="59">
        <v>0</v>
      </c>
      <c r="I41" s="64">
        <f>G41*H41</f>
        <v>0</v>
      </c>
    </row>
    <row r="42" spans="1:10" x14ac:dyDescent="0.3">
      <c r="A42" s="59" t="s">
        <v>44</v>
      </c>
      <c r="B42" s="59" t="s">
        <v>26</v>
      </c>
      <c r="E42" s="67"/>
      <c r="F42" s="71"/>
      <c r="G42" s="75">
        <v>1800000</v>
      </c>
      <c r="H42" s="66"/>
      <c r="I42" s="75"/>
    </row>
    <row r="43" spans="1:10" x14ac:dyDescent="0.3">
      <c r="D43" s="66"/>
      <c r="E43" s="67"/>
      <c r="F43" s="71"/>
      <c r="G43" s="27">
        <f>SUM(G41:G42)</f>
        <v>6016334.7999999998</v>
      </c>
      <c r="H43" s="27"/>
      <c r="I43" s="64">
        <f>SUM(I41:I42)</f>
        <v>0</v>
      </c>
    </row>
    <row r="44" spans="1:10" x14ac:dyDescent="0.3">
      <c r="D44" s="66"/>
      <c r="E44" s="67"/>
      <c r="F44" s="71"/>
      <c r="G44" s="27"/>
      <c r="I44" s="64"/>
      <c r="J44" s="27"/>
    </row>
    <row r="45" spans="1:10" x14ac:dyDescent="0.3">
      <c r="A45" s="59" t="s">
        <v>21</v>
      </c>
      <c r="B45" s="66" t="s">
        <v>53</v>
      </c>
      <c r="E45" s="67"/>
      <c r="F45" s="71"/>
      <c r="G45" s="27">
        <v>340838</v>
      </c>
      <c r="H45" s="59">
        <v>0</v>
      </c>
      <c r="I45" s="64">
        <f>G45*H45</f>
        <v>0</v>
      </c>
    </row>
    <row r="46" spans="1:10" x14ac:dyDescent="0.3">
      <c r="D46" s="66"/>
      <c r="E46" s="67"/>
      <c r="F46" s="71"/>
      <c r="G46" s="27"/>
      <c r="H46" s="66"/>
      <c r="I46" s="64"/>
    </row>
    <row r="47" spans="1:10" x14ac:dyDescent="0.3">
      <c r="A47" s="59" t="s">
        <v>22</v>
      </c>
      <c r="B47" s="66" t="s">
        <v>53</v>
      </c>
      <c r="E47" s="67"/>
      <c r="F47" s="71"/>
      <c r="G47" s="64">
        <f>1250069+22500</f>
        <v>1272569</v>
      </c>
      <c r="H47" s="59">
        <v>0</v>
      </c>
      <c r="I47" s="64">
        <f>G47*H47</f>
        <v>0</v>
      </c>
    </row>
    <row r="48" spans="1:10" x14ac:dyDescent="0.3">
      <c r="A48" s="59" t="s">
        <v>44</v>
      </c>
      <c r="B48" s="59" t="s">
        <v>24</v>
      </c>
      <c r="D48" s="66" t="s">
        <v>52</v>
      </c>
      <c r="E48" s="67"/>
      <c r="F48" s="71"/>
      <c r="G48" s="75">
        <v>401547</v>
      </c>
      <c r="H48" s="66"/>
      <c r="I48" s="75"/>
    </row>
    <row r="49" spans="1:10" x14ac:dyDescent="0.3">
      <c r="D49" s="66"/>
      <c r="E49" s="67"/>
      <c r="F49" s="71"/>
      <c r="G49" s="27">
        <f>SUM(G47:G48)</f>
        <v>1674116</v>
      </c>
      <c r="H49" s="27"/>
      <c r="I49" s="64">
        <f>SUM(I47:I48)</f>
        <v>0</v>
      </c>
      <c r="J49" s="27"/>
    </row>
    <row r="50" spans="1:10" x14ac:dyDescent="0.3">
      <c r="D50" s="66"/>
      <c r="E50" s="67"/>
      <c r="F50" s="71"/>
      <c r="G50" s="27"/>
      <c r="I50" s="64"/>
    </row>
    <row r="51" spans="1:10" x14ac:dyDescent="0.3">
      <c r="A51" s="59" t="s">
        <v>27</v>
      </c>
      <c r="B51" s="66" t="s">
        <v>53</v>
      </c>
      <c r="E51" s="67"/>
      <c r="F51" s="71"/>
      <c r="G51" s="27">
        <f>956400+19134</f>
        <v>975534</v>
      </c>
      <c r="H51" s="59">
        <v>0</v>
      </c>
      <c r="I51" s="64">
        <f>G51*H51</f>
        <v>0</v>
      </c>
    </row>
    <row r="52" spans="1:10" x14ac:dyDescent="0.3">
      <c r="D52" s="66"/>
      <c r="E52" s="66"/>
      <c r="F52" s="71"/>
      <c r="G52" s="27"/>
      <c r="I52" s="64"/>
    </row>
    <row r="53" spans="1:10" x14ac:dyDescent="0.3">
      <c r="A53" s="59" t="s">
        <v>28</v>
      </c>
      <c r="D53" s="66"/>
      <c r="E53" s="66"/>
      <c r="F53" s="71"/>
      <c r="G53" s="27">
        <v>540000</v>
      </c>
      <c r="H53" s="59">
        <v>0</v>
      </c>
      <c r="I53" s="64">
        <f>G53*H53</f>
        <v>0</v>
      </c>
    </row>
    <row r="54" spans="1:10" x14ac:dyDescent="0.3">
      <c r="D54" s="66"/>
      <c r="E54" s="66"/>
      <c r="F54" s="71"/>
      <c r="G54" s="27"/>
    </row>
    <row r="55" spans="1:10" x14ac:dyDescent="0.3">
      <c r="A55" s="59" t="s">
        <v>122</v>
      </c>
      <c r="B55" s="26"/>
      <c r="C55" s="26"/>
      <c r="D55" s="26"/>
      <c r="E55" s="26"/>
      <c r="G55" s="64">
        <f>G53+G51+G49+G45+G43+G39+G35+G33+G28+G22+H13+G13+F13+E13+D13+C13</f>
        <v>29952137.891999993</v>
      </c>
    </row>
    <row r="56" spans="1:10" x14ac:dyDescent="0.3">
      <c r="A56" s="59" t="s">
        <v>121</v>
      </c>
      <c r="G56" s="75">
        <f>I53+I51+I49+I45+I43+I39+I33+I28+I22+SUM(C15:H15)</f>
        <v>0</v>
      </c>
    </row>
    <row r="57" spans="1:10" x14ac:dyDescent="0.3">
      <c r="A57" s="59" t="s">
        <v>123</v>
      </c>
      <c r="G57" s="64">
        <f>SUM(G55:G56)</f>
        <v>29952137.891999993</v>
      </c>
    </row>
    <row r="58" spans="1:10" x14ac:dyDescent="0.3">
      <c r="G58" s="64"/>
    </row>
    <row r="59" spans="1:10" x14ac:dyDescent="0.3">
      <c r="A59" s="26" t="s">
        <v>30</v>
      </c>
      <c r="D59" s="27"/>
      <c r="E59" s="27"/>
      <c r="G59" s="27">
        <v>21488600</v>
      </c>
      <c r="H59" s="27"/>
      <c r="I59" s="27"/>
    </row>
    <row r="60" spans="1:10" x14ac:dyDescent="0.3">
      <c r="A60" s="27"/>
      <c r="D60" s="27"/>
      <c r="E60" s="27"/>
      <c r="G60" s="27"/>
      <c r="H60" s="27"/>
      <c r="I60" s="27"/>
    </row>
    <row r="61" spans="1:10" x14ac:dyDescent="0.3">
      <c r="A61" s="27"/>
      <c r="D61" s="27"/>
      <c r="E61" s="27"/>
      <c r="G61" s="27"/>
      <c r="H61" s="27"/>
      <c r="I61" s="27"/>
    </row>
    <row r="62" spans="1:10" x14ac:dyDescent="0.3">
      <c r="A62" s="27"/>
      <c r="D62" s="27"/>
      <c r="E62" s="27"/>
      <c r="G62" s="27"/>
      <c r="H62" s="27"/>
      <c r="I62" s="27"/>
    </row>
    <row r="63" spans="1:10" x14ac:dyDescent="0.3">
      <c r="A63" s="27" t="s">
        <v>38</v>
      </c>
      <c r="D63" s="27"/>
      <c r="E63" s="27"/>
      <c r="G63" s="27">
        <f>G59-G57</f>
        <v>-8463537.8919999935</v>
      </c>
      <c r="H63" s="27"/>
      <c r="I63" s="27"/>
    </row>
    <row r="64" spans="1:10" x14ac:dyDescent="0.3">
      <c r="J64" s="64"/>
    </row>
    <row r="65" spans="1:10" x14ac:dyDescent="0.3">
      <c r="J65" s="64"/>
    </row>
    <row r="66" spans="1:10" x14ac:dyDescent="0.3">
      <c r="A66" s="26" t="s">
        <v>41</v>
      </c>
      <c r="J66" s="64"/>
    </row>
    <row r="67" spans="1:10" x14ac:dyDescent="0.3">
      <c r="A67" s="26"/>
      <c r="J67" s="64"/>
    </row>
    <row r="68" spans="1:10" ht="75" x14ac:dyDescent="0.3">
      <c r="B68" s="59" t="s">
        <v>40</v>
      </c>
      <c r="G68" s="76" t="s">
        <v>81</v>
      </c>
      <c r="H68" s="77">
        <v>6.4</v>
      </c>
      <c r="J68" s="64">
        <v>3255600</v>
      </c>
    </row>
    <row r="69" spans="1:10" x14ac:dyDescent="0.3">
      <c r="J69" s="64"/>
    </row>
    <row r="70" spans="1:10" x14ac:dyDescent="0.3">
      <c r="B70" s="59" t="s">
        <v>42</v>
      </c>
      <c r="J70" s="64">
        <f>-G63-J68</f>
        <v>5207937.8919999935</v>
      </c>
    </row>
    <row r="71" spans="1:10" x14ac:dyDescent="0.3">
      <c r="J71" s="64"/>
    </row>
    <row r="72" spans="1:10" x14ac:dyDescent="0.3">
      <c r="J72" s="64"/>
    </row>
    <row r="79" spans="1:10" x14ac:dyDescent="0.3">
      <c r="D79" s="26"/>
    </row>
    <row r="80" spans="1:10" x14ac:dyDescent="0.3">
      <c r="D80" s="26"/>
    </row>
    <row r="81" spans="4:10" x14ac:dyDescent="0.3">
      <c r="D81" s="26"/>
    </row>
    <row r="82" spans="4:10" x14ac:dyDescent="0.3">
      <c r="D82" s="26"/>
      <c r="G82" s="59" t="s">
        <v>95</v>
      </c>
      <c r="J82" s="27">
        <v>-8458538.4823600017</v>
      </c>
    </row>
  </sheetData>
  <pageMargins left="0.7" right="0.7" top="0.75" bottom="0.75" header="0.3" footer="0.3"/>
  <pageSetup paperSize="3" scale="43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>
      <selection activeCell="C19" sqref="C19"/>
    </sheetView>
  </sheetViews>
  <sheetFormatPr defaultRowHeight="15" x14ac:dyDescent="0.25"/>
  <cols>
    <col min="3" max="3" width="24.28515625" customWidth="1"/>
    <col min="4" max="4" width="17.5703125" customWidth="1"/>
    <col min="5" max="5" width="21.140625" customWidth="1"/>
    <col min="6" max="6" width="33.140625" bestFit="1" customWidth="1"/>
    <col min="7" max="7" width="35.28515625" customWidth="1"/>
  </cols>
  <sheetData>
    <row r="1" spans="1:6" ht="31.5" x14ac:dyDescent="0.5">
      <c r="A1" s="30" t="s">
        <v>96</v>
      </c>
    </row>
    <row r="2" spans="1:6" ht="23.25" x14ac:dyDescent="0.35">
      <c r="A2" s="3" t="s">
        <v>97</v>
      </c>
    </row>
    <row r="3" spans="1:6" ht="23.25" x14ac:dyDescent="0.35">
      <c r="A3" s="3"/>
    </row>
    <row r="4" spans="1:6" ht="23.25" x14ac:dyDescent="0.35">
      <c r="A4" s="3"/>
    </row>
    <row r="5" spans="1:6" ht="21" x14ac:dyDescent="0.35">
      <c r="A5" s="2" t="s">
        <v>98</v>
      </c>
    </row>
    <row r="6" spans="1:6" ht="21" x14ac:dyDescent="0.35">
      <c r="A6" s="2"/>
    </row>
    <row r="8" spans="1:6" x14ac:dyDescent="0.25">
      <c r="E8" s="31" t="s">
        <v>99</v>
      </c>
    </row>
    <row r="9" spans="1:6" x14ac:dyDescent="0.25">
      <c r="A9" t="s">
        <v>100</v>
      </c>
      <c r="E9" s="31" t="s">
        <v>101</v>
      </c>
      <c r="F9" s="1">
        <f>6535139937+4151797095</f>
        <v>10686937032</v>
      </c>
    </row>
    <row r="10" spans="1:6" ht="15.75" thickBot="1" x14ac:dyDescent="0.3">
      <c r="E10" s="31"/>
      <c r="F10" s="1"/>
    </row>
    <row r="11" spans="1:6" ht="21.75" thickBot="1" x14ac:dyDescent="0.4">
      <c r="A11" t="s">
        <v>102</v>
      </c>
      <c r="D11" s="32">
        <f>F13/F9</f>
        <v>8.0458399414287869E-4</v>
      </c>
      <c r="E11" s="31" t="s">
        <v>103</v>
      </c>
    </row>
    <row r="12" spans="1:6" x14ac:dyDescent="0.25">
      <c r="E12" s="31"/>
      <c r="F12" s="1"/>
    </row>
    <row r="13" spans="1:6" ht="15.75" x14ac:dyDescent="0.25">
      <c r="A13" s="14" t="s">
        <v>104</v>
      </c>
      <c r="B13" s="14"/>
      <c r="C13" s="14"/>
      <c r="D13" s="14"/>
      <c r="E13" s="33" t="s">
        <v>105</v>
      </c>
      <c r="F13" s="78">
        <f>-Proformas!J159</f>
        <v>8598538.4823600017</v>
      </c>
    </row>
    <row r="14" spans="1:6" x14ac:dyDescent="0.25">
      <c r="E14" s="31"/>
      <c r="F14" s="1"/>
    </row>
    <row r="15" spans="1:6" x14ac:dyDescent="0.25">
      <c r="E15" s="31"/>
      <c r="F15" s="34"/>
    </row>
    <row r="16" spans="1:6" x14ac:dyDescent="0.25">
      <c r="A16" t="s">
        <v>106</v>
      </c>
      <c r="E16" s="31"/>
      <c r="F16" s="1">
        <v>254040</v>
      </c>
    </row>
    <row r="17" spans="1:8" x14ac:dyDescent="0.25">
      <c r="E17" s="31"/>
      <c r="F17" s="1"/>
    </row>
    <row r="18" spans="1:8" x14ac:dyDescent="0.25">
      <c r="C18" t="s">
        <v>107</v>
      </c>
      <c r="E18" s="31"/>
      <c r="F18" s="35">
        <v>0.55000000000000004</v>
      </c>
    </row>
    <row r="19" spans="1:8" x14ac:dyDescent="0.25">
      <c r="C19" t="s">
        <v>108</v>
      </c>
      <c r="E19" s="31"/>
      <c r="F19" s="36">
        <f>F18*F16</f>
        <v>139722</v>
      </c>
    </row>
    <row r="20" spans="1:8" x14ac:dyDescent="0.25">
      <c r="E20" s="31"/>
      <c r="F20" s="1"/>
    </row>
    <row r="21" spans="1:8" ht="28.5" x14ac:dyDescent="0.45">
      <c r="A21" s="37" t="s">
        <v>109</v>
      </c>
      <c r="B21" s="37"/>
      <c r="C21" s="37"/>
      <c r="D21" s="37"/>
      <c r="E21" s="38"/>
      <c r="F21" s="39">
        <f>F19*D11</f>
        <v>112.4180848296313</v>
      </c>
    </row>
    <row r="22" spans="1:8" x14ac:dyDescent="0.25">
      <c r="E22" s="31"/>
      <c r="F22" s="1"/>
    </row>
    <row r="23" spans="1:8" x14ac:dyDescent="0.25">
      <c r="E23" s="31"/>
      <c r="F23" s="1"/>
    </row>
    <row r="26" spans="1:8" x14ac:dyDescent="0.25">
      <c r="H26" s="40"/>
    </row>
    <row r="28" spans="1:8" x14ac:dyDescent="0.25">
      <c r="E28" s="31"/>
      <c r="F28" s="1"/>
    </row>
    <row r="29" spans="1:8" x14ac:dyDescent="0.25">
      <c r="F29" s="1"/>
    </row>
    <row r="30" spans="1:8" x14ac:dyDescent="0.25">
      <c r="F30" s="1"/>
    </row>
    <row r="31" spans="1:8" x14ac:dyDescent="0.25">
      <c r="F31" s="1"/>
    </row>
    <row r="32" spans="1:8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1"/>
  <sheetViews>
    <sheetView topLeftCell="B1" workbookViewId="0">
      <selection activeCell="H24" sqref="H24"/>
    </sheetView>
  </sheetViews>
  <sheetFormatPr defaultRowHeight="15" x14ac:dyDescent="0.25"/>
  <cols>
    <col min="1" max="1" width="17.28515625" customWidth="1"/>
    <col min="2" max="2" width="11.85546875" customWidth="1"/>
    <col min="3" max="3" width="14.42578125" customWidth="1"/>
    <col min="5" max="5" width="24.28515625" customWidth="1"/>
    <col min="6" max="6" width="21.7109375" customWidth="1"/>
    <col min="7" max="7" width="13.85546875" bestFit="1" customWidth="1"/>
    <col min="8" max="8" width="23.7109375" customWidth="1"/>
    <col min="9" max="9" width="4.5703125" customWidth="1"/>
    <col min="10" max="10" width="35.140625" customWidth="1"/>
    <col min="11" max="11" width="17.5703125" customWidth="1"/>
    <col min="12" max="12" width="15.7109375" customWidth="1"/>
    <col min="13" max="14" width="13.85546875" bestFit="1" customWidth="1"/>
    <col min="15" max="15" width="16.42578125" bestFit="1" customWidth="1"/>
    <col min="16" max="16" width="16.7109375" bestFit="1" customWidth="1"/>
    <col min="17" max="17" width="17.5703125" bestFit="1" customWidth="1"/>
  </cols>
  <sheetData>
    <row r="1" spans="1:17" ht="31.5" x14ac:dyDescent="0.5">
      <c r="A1" s="30" t="s">
        <v>96</v>
      </c>
    </row>
    <row r="2" spans="1:17" ht="23.25" x14ac:dyDescent="0.35">
      <c r="A2" s="3" t="s">
        <v>97</v>
      </c>
    </row>
    <row r="3" spans="1:17" ht="23.25" x14ac:dyDescent="0.35">
      <c r="A3" s="3"/>
    </row>
    <row r="4" spans="1:17" ht="23.25" x14ac:dyDescent="0.35">
      <c r="A4" s="3"/>
    </row>
    <row r="5" spans="1:17" ht="21" x14ac:dyDescent="0.35">
      <c r="A5" s="2" t="s">
        <v>98</v>
      </c>
      <c r="J5" s="41"/>
      <c r="K5" s="42" t="s">
        <v>1</v>
      </c>
      <c r="L5" s="42" t="s">
        <v>2</v>
      </c>
      <c r="M5" s="42" t="s">
        <v>3</v>
      </c>
      <c r="N5" s="42" t="s">
        <v>4</v>
      </c>
      <c r="O5" s="42" t="s">
        <v>110</v>
      </c>
      <c r="P5" s="42" t="s">
        <v>10</v>
      </c>
    </row>
    <row r="6" spans="1:17" ht="21" x14ac:dyDescent="0.35">
      <c r="A6" s="2"/>
      <c r="H6" s="43">
        <f>SUM(K6:P6)</f>
        <v>81179</v>
      </c>
      <c r="J6" s="41" t="s">
        <v>125</v>
      </c>
      <c r="K6" s="44">
        <v>648</v>
      </c>
      <c r="L6" s="44">
        <v>1838</v>
      </c>
      <c r="M6" s="44">
        <v>36530</v>
      </c>
      <c r="N6" s="44">
        <v>26505</v>
      </c>
      <c r="O6" s="44">
        <v>5497</v>
      </c>
      <c r="P6" s="44">
        <v>10161</v>
      </c>
    </row>
    <row r="7" spans="1:17" x14ac:dyDescent="0.25">
      <c r="J7" s="41" t="s">
        <v>111</v>
      </c>
      <c r="K7" s="45">
        <f>K6/H6</f>
        <v>7.9823599699429659E-3</v>
      </c>
      <c r="L7" s="45">
        <f>L6/H6</f>
        <v>2.2641323494992548E-2</v>
      </c>
      <c r="M7" s="45">
        <f>M6/H6</f>
        <v>0.44999322484879095</v>
      </c>
      <c r="N7" s="45">
        <f>N6/H6</f>
        <v>0.32650069599280601</v>
      </c>
      <c r="O7" s="45">
        <f>O6/H6</f>
        <v>6.7714556720334079E-2</v>
      </c>
      <c r="P7" s="45">
        <f>P6/H6</f>
        <v>0.12516783897313344</v>
      </c>
      <c r="Q7" s="46">
        <f>SUM(K7:P7)</f>
        <v>1</v>
      </c>
    </row>
    <row r="8" spans="1:17" x14ac:dyDescent="0.25">
      <c r="E8" s="31" t="s">
        <v>99</v>
      </c>
      <c r="G8" s="1"/>
      <c r="H8" s="1"/>
      <c r="I8" s="1"/>
      <c r="J8" s="41" t="s">
        <v>112</v>
      </c>
      <c r="K8" s="47">
        <f>K7*F9</f>
        <v>85306978.365537882</v>
      </c>
      <c r="L8" s="47">
        <f>L7*F9</f>
        <v>241966398.51212752</v>
      </c>
      <c r="M8" s="48">
        <f>M7*F9</f>
        <v>4809049258.7856464</v>
      </c>
      <c r="N8" s="48">
        <f>N7*F9</f>
        <v>3489292378.9792924</v>
      </c>
      <c r="O8" s="47">
        <f>O7*F9</f>
        <v>723661203.82000279</v>
      </c>
      <c r="P8" s="47">
        <f>P7*F9</f>
        <v>1337660813.5373926</v>
      </c>
      <c r="Q8" s="1">
        <f>SUM(K8:P8)</f>
        <v>10686937032</v>
      </c>
    </row>
    <row r="9" spans="1:17" x14ac:dyDescent="0.25">
      <c r="A9" t="s">
        <v>100</v>
      </c>
      <c r="E9" s="31" t="s">
        <v>101</v>
      </c>
      <c r="F9" s="1">
        <v>10686937032</v>
      </c>
      <c r="G9" s="1"/>
      <c r="H9" s="1"/>
      <c r="I9" s="1"/>
      <c r="J9" s="41"/>
      <c r="K9" s="48"/>
      <c r="L9" s="48"/>
      <c r="M9" s="48"/>
      <c r="N9" s="48"/>
      <c r="O9" s="48"/>
      <c r="P9" s="48"/>
    </row>
    <row r="10" spans="1:17" x14ac:dyDescent="0.25">
      <c r="E10" s="31"/>
      <c r="F10" s="1"/>
      <c r="G10" s="49"/>
      <c r="H10" s="49"/>
      <c r="I10" s="49"/>
      <c r="J10" s="41"/>
      <c r="K10" s="50">
        <f>D11</f>
        <v>8.0458399414287869E-4</v>
      </c>
      <c r="L10" s="50">
        <f>D11</f>
        <v>8.0458399414287869E-4</v>
      </c>
      <c r="M10" s="50">
        <f>D11</f>
        <v>8.0458399414287869E-4</v>
      </c>
      <c r="N10" s="50">
        <f>D11</f>
        <v>8.0458399414287869E-4</v>
      </c>
      <c r="O10" s="50">
        <f>D11</f>
        <v>8.0458399414287869E-4</v>
      </c>
      <c r="P10" s="50">
        <f>D11</f>
        <v>8.0458399414287869E-4</v>
      </c>
    </row>
    <row r="11" spans="1:17" x14ac:dyDescent="0.25">
      <c r="A11" t="s">
        <v>102</v>
      </c>
      <c r="D11">
        <f>F13/F9</f>
        <v>8.0458399414287869E-4</v>
      </c>
      <c r="E11" s="31" t="s">
        <v>103</v>
      </c>
      <c r="G11" s="1"/>
      <c r="H11" s="1"/>
      <c r="I11" s="1"/>
      <c r="J11" s="41"/>
      <c r="K11" s="48"/>
      <c r="L11" s="48"/>
      <c r="M11" s="48"/>
      <c r="N11" s="48"/>
      <c r="O11" s="48"/>
      <c r="P11" s="48"/>
    </row>
    <row r="12" spans="1:17" ht="15.75" x14ac:dyDescent="0.25">
      <c r="E12" s="31"/>
      <c r="F12" s="1"/>
      <c r="G12" s="13"/>
      <c r="H12" s="13"/>
      <c r="I12" s="13"/>
      <c r="J12" s="41"/>
      <c r="K12" s="51">
        <f t="shared" ref="K12:P12" si="0">K8*K10</f>
        <v>68636.629381604609</v>
      </c>
      <c r="L12" s="51">
        <f t="shared" si="0"/>
        <v>194682.29136325506</v>
      </c>
      <c r="M12" s="51">
        <f t="shared" si="0"/>
        <v>3869284.0606636056</v>
      </c>
      <c r="N12" s="51">
        <f t="shared" si="0"/>
        <v>2807428.7990114661</v>
      </c>
      <c r="O12" s="51">
        <f t="shared" si="0"/>
        <v>582246.22177574167</v>
      </c>
      <c r="P12" s="51">
        <f t="shared" si="0"/>
        <v>1076260.4801643279</v>
      </c>
      <c r="Q12" s="1">
        <f>SUM(K12:P12)</f>
        <v>8598538.4823599998</v>
      </c>
    </row>
    <row r="13" spans="1:17" ht="15.75" x14ac:dyDescent="0.25">
      <c r="A13" s="14" t="s">
        <v>104</v>
      </c>
      <c r="B13" s="14"/>
      <c r="C13" s="14"/>
      <c r="D13" s="14"/>
      <c r="E13" s="33" t="s">
        <v>105</v>
      </c>
      <c r="F13" s="52">
        <f>-Proformas!J159</f>
        <v>8598538.4823600017</v>
      </c>
      <c r="G13" s="1"/>
      <c r="H13" s="1"/>
      <c r="I13" s="1"/>
      <c r="J13" s="41"/>
      <c r="K13" s="48"/>
      <c r="L13" s="48"/>
      <c r="M13" s="48"/>
      <c r="N13" s="48"/>
      <c r="O13" s="48"/>
      <c r="P13" s="48"/>
    </row>
    <row r="14" spans="1:17" x14ac:dyDescent="0.25">
      <c r="E14" s="31"/>
      <c r="F14" s="1"/>
      <c r="G14" s="34"/>
      <c r="H14" s="34"/>
      <c r="I14" s="34"/>
      <c r="J14" s="41"/>
      <c r="K14" s="53"/>
      <c r="L14" s="53"/>
      <c r="M14" s="53"/>
      <c r="N14" s="53"/>
      <c r="O14" s="53"/>
      <c r="P14" s="53"/>
    </row>
    <row r="15" spans="1:17" x14ac:dyDescent="0.25">
      <c r="E15" s="31"/>
      <c r="F15" s="34"/>
      <c r="G15" s="1"/>
      <c r="H15" s="1"/>
      <c r="I15" s="1"/>
      <c r="J15" s="41"/>
      <c r="K15" s="48"/>
      <c r="L15" s="48"/>
      <c r="M15" s="48"/>
      <c r="N15" s="48"/>
      <c r="O15" s="48"/>
      <c r="P15" s="48"/>
    </row>
    <row r="16" spans="1:17" x14ac:dyDescent="0.25">
      <c r="A16" t="s">
        <v>106</v>
      </c>
      <c r="E16" s="31"/>
      <c r="F16" s="1">
        <v>254040</v>
      </c>
      <c r="G16" s="1"/>
      <c r="H16" s="1"/>
      <c r="I16" s="1"/>
      <c r="J16" s="54" t="s">
        <v>113</v>
      </c>
      <c r="K16" s="48"/>
      <c r="L16" s="48"/>
      <c r="M16" s="48"/>
      <c r="N16" s="48"/>
      <c r="O16" s="48"/>
      <c r="P16" s="48"/>
    </row>
    <row r="17" spans="1:16" ht="26.25" x14ac:dyDescent="0.25">
      <c r="E17" s="31"/>
      <c r="F17" s="1"/>
      <c r="G17" s="1"/>
      <c r="H17" s="55" t="s">
        <v>114</v>
      </c>
      <c r="I17" s="1"/>
      <c r="J17" s="54" t="s">
        <v>115</v>
      </c>
      <c r="K17" s="48"/>
      <c r="L17" s="48"/>
      <c r="M17" s="48"/>
      <c r="N17" s="48"/>
      <c r="O17" s="48"/>
      <c r="P17" s="48"/>
    </row>
    <row r="18" spans="1:16" x14ac:dyDescent="0.25">
      <c r="C18" t="s">
        <v>107</v>
      </c>
      <c r="E18" s="31"/>
      <c r="F18" s="35">
        <v>0.55000000000000004</v>
      </c>
      <c r="G18" s="1"/>
      <c r="H18" s="1"/>
      <c r="I18" s="1"/>
      <c r="J18" s="54" t="s">
        <v>116</v>
      </c>
      <c r="K18" s="48"/>
      <c r="L18" s="48"/>
      <c r="M18" s="48"/>
      <c r="N18" s="48"/>
      <c r="O18" s="48"/>
      <c r="P18" s="48"/>
    </row>
    <row r="19" spans="1:16" x14ac:dyDescent="0.25">
      <c r="C19" t="s">
        <v>108</v>
      </c>
      <c r="E19" s="31"/>
      <c r="F19" s="1">
        <f>F18*F16</f>
        <v>139722</v>
      </c>
      <c r="G19" s="1"/>
      <c r="H19" s="1"/>
      <c r="I19" s="1"/>
      <c r="J19" s="41"/>
      <c r="K19" s="48"/>
      <c r="L19" s="48"/>
      <c r="M19" s="48"/>
      <c r="N19" s="48"/>
      <c r="O19" s="48"/>
      <c r="P19" s="48"/>
    </row>
    <row r="20" spans="1:16" x14ac:dyDescent="0.25">
      <c r="E20" s="31"/>
      <c r="F20" s="1"/>
      <c r="G20" s="1"/>
      <c r="H20" s="1"/>
      <c r="I20" s="1"/>
      <c r="J20" s="41"/>
      <c r="K20" s="48"/>
      <c r="L20" s="48"/>
      <c r="M20" s="48"/>
      <c r="N20" s="48"/>
      <c r="O20" s="48"/>
      <c r="P20" s="48"/>
    </row>
    <row r="21" spans="1:16" ht="28.5" x14ac:dyDescent="0.45">
      <c r="A21" s="37" t="s">
        <v>109</v>
      </c>
      <c r="B21" s="37"/>
      <c r="C21" s="37"/>
      <c r="D21" s="37"/>
      <c r="E21" s="38"/>
      <c r="F21" s="39">
        <f>F19*D11</f>
        <v>112.4180848296313</v>
      </c>
      <c r="G21" s="1"/>
      <c r="H21" s="1"/>
      <c r="I21" s="1"/>
      <c r="J21" s="41"/>
      <c r="K21" s="48">
        <v>165377</v>
      </c>
      <c r="L21" s="48">
        <v>648339</v>
      </c>
      <c r="M21" s="48">
        <v>173609</v>
      </c>
      <c r="N21" s="48">
        <v>171961</v>
      </c>
      <c r="O21" s="48">
        <v>198163</v>
      </c>
      <c r="P21" s="48">
        <v>384664</v>
      </c>
    </row>
    <row r="22" spans="1:16" x14ac:dyDescent="0.25">
      <c r="E22" s="31"/>
      <c r="F22" s="1"/>
      <c r="G22" s="35"/>
      <c r="H22" s="35"/>
      <c r="I22" s="35"/>
      <c r="J22" s="41"/>
      <c r="K22" s="56">
        <v>0.55000000000000004</v>
      </c>
      <c r="L22" s="56">
        <v>0.55000000000000004</v>
      </c>
      <c r="M22" s="56">
        <v>0.55000000000000004</v>
      </c>
      <c r="N22" s="56">
        <v>0.55000000000000004</v>
      </c>
      <c r="O22" s="56">
        <v>0.55000000000000004</v>
      </c>
      <c r="P22" s="56">
        <v>0.55000000000000004</v>
      </c>
    </row>
    <row r="23" spans="1:16" x14ac:dyDescent="0.25">
      <c r="E23" s="31"/>
      <c r="F23" s="1"/>
      <c r="G23" s="1"/>
      <c r="H23" s="1"/>
      <c r="I23" s="1"/>
      <c r="J23" s="41"/>
      <c r="K23" s="48">
        <f t="shared" ref="K23:P23" si="1">K22*K21</f>
        <v>90957.35</v>
      </c>
      <c r="L23" s="48">
        <f t="shared" si="1"/>
        <v>356586.45</v>
      </c>
      <c r="M23" s="48">
        <f t="shared" si="1"/>
        <v>95484.950000000012</v>
      </c>
      <c r="N23" s="48">
        <f t="shared" si="1"/>
        <v>94578.55</v>
      </c>
      <c r="O23" s="48">
        <f t="shared" si="1"/>
        <v>108989.65000000001</v>
      </c>
      <c r="P23" s="48">
        <f t="shared" si="1"/>
        <v>211565.2</v>
      </c>
    </row>
    <row r="24" spans="1:16" ht="28.5" x14ac:dyDescent="0.45">
      <c r="G24" s="57"/>
      <c r="H24" s="57"/>
      <c r="I24" s="57"/>
      <c r="J24" s="41"/>
      <c r="K24" s="58">
        <f>K23*D11</f>
        <v>73.182827959651775</v>
      </c>
      <c r="L24" s="58">
        <f>L23*D11</f>
        <v>286.90375019822989</v>
      </c>
      <c r="M24" s="58">
        <f>M23*D11</f>
        <v>76.825662451533077</v>
      </c>
      <c r="N24" s="58">
        <f>N23*D11</f>
        <v>76.096387519241958</v>
      </c>
      <c r="O24" s="58">
        <f>O23*D11</f>
        <v>87.691327917234403</v>
      </c>
      <c r="P24" s="58">
        <f>P23*D11</f>
        <v>170.22197363763698</v>
      </c>
    </row>
    <row r="25" spans="1:16" x14ac:dyDescent="0.25">
      <c r="A25" t="s">
        <v>134</v>
      </c>
      <c r="F25" s="120">
        <f>Proformas!J164</f>
        <v>3255600</v>
      </c>
      <c r="G25" s="1"/>
      <c r="H25" s="1"/>
      <c r="I25" s="1"/>
      <c r="J25" s="41"/>
      <c r="K25" s="48"/>
      <c r="L25" s="48"/>
      <c r="M25" s="48"/>
      <c r="N25" s="48"/>
      <c r="O25" s="48"/>
      <c r="P25" s="48"/>
    </row>
    <row r="26" spans="1:16" x14ac:dyDescent="0.25">
      <c r="A26" t="s">
        <v>160</v>
      </c>
      <c r="J26" s="41"/>
      <c r="K26" s="41"/>
      <c r="L26" s="41"/>
      <c r="M26" s="41"/>
      <c r="N26" s="41"/>
      <c r="O26" s="41"/>
      <c r="P26" s="41"/>
    </row>
    <row r="27" spans="1:16" x14ac:dyDescent="0.25">
      <c r="A27" t="s">
        <v>161</v>
      </c>
      <c r="F27" s="121">
        <f>(F13-F25)/F9</f>
        <v>4.9995040359661412E-4</v>
      </c>
    </row>
    <row r="28" spans="1:16" x14ac:dyDescent="0.25">
      <c r="A28" s="18" t="s">
        <v>162</v>
      </c>
      <c r="B28" s="18"/>
      <c r="C28" s="18"/>
      <c r="D28" s="18"/>
      <c r="E28" s="18"/>
      <c r="F28" s="122">
        <f>F27*F19</f>
        <v>69.854070291326124</v>
      </c>
    </row>
    <row r="30" spans="1:16" x14ac:dyDescent="0.25">
      <c r="A30" t="s">
        <v>163</v>
      </c>
      <c r="K30" s="123">
        <f>$F$27*K8</f>
        <v>42649.258263458294</v>
      </c>
      <c r="L30" s="123">
        <f t="shared" ref="L30:P30" si="2">$F$27*L8</f>
        <v>120971.19859295733</v>
      </c>
      <c r="M30" s="123">
        <f t="shared" si="2"/>
        <v>2404286.1178458817</v>
      </c>
      <c r="N30" s="123">
        <f t="shared" si="2"/>
        <v>1744473.1331372871</v>
      </c>
      <c r="O30" s="123">
        <f t="shared" si="2"/>
        <v>361794.71091702202</v>
      </c>
      <c r="P30" s="123">
        <f t="shared" si="2"/>
        <v>668764.06360339466</v>
      </c>
    </row>
    <row r="31" spans="1:16" x14ac:dyDescent="0.25">
      <c r="A31" t="s">
        <v>164</v>
      </c>
      <c r="K31" s="122">
        <f>$F$27*K23</f>
        <v>45.474163842578491</v>
      </c>
      <c r="L31" s="122">
        <f t="shared" ref="L31:P31" si="3">$F$27*L23</f>
        <v>178.27553959458388</v>
      </c>
      <c r="M31" s="122">
        <f t="shared" si="3"/>
        <v>47.737739289902528</v>
      </c>
      <c r="N31" s="122">
        <f t="shared" si="3"/>
        <v>47.284584244082552</v>
      </c>
      <c r="O31" s="122">
        <f t="shared" si="3"/>
        <v>54.489419505353716</v>
      </c>
      <c r="P31" s="122">
        <f t="shared" si="3"/>
        <v>105.77210712699839</v>
      </c>
    </row>
  </sheetData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Public Hearing</vt:lpstr>
      <vt:lpstr>Proposed Tentative</vt:lpstr>
      <vt:lpstr>Proformas</vt:lpstr>
      <vt:lpstr>Summary</vt:lpstr>
      <vt:lpstr>GSLMSD PT Impact in total</vt:lpstr>
      <vt:lpstr>Impact per Metro</vt:lpstr>
      <vt:lpstr>'Proposed Tentative'!Print_Area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Allen</dc:creator>
  <cp:lastModifiedBy>Randy Allen</cp:lastModifiedBy>
  <cp:lastPrinted>2018-01-05T14:51:26Z</cp:lastPrinted>
  <dcterms:created xsi:type="dcterms:W3CDTF">2017-07-27T21:09:02Z</dcterms:created>
  <dcterms:modified xsi:type="dcterms:W3CDTF">2018-01-05T14:52:27Z</dcterms:modified>
</cp:coreProperties>
</file>